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filterPrivacy="1" defaultThemeVersion="124226"/>
  <xr:revisionPtr revIDLastSave="0" documentId="10_ncr:8100000_{B46BC090-4D96-48E0-8A5F-8146E155DF58}" xr6:coauthVersionLast="33" xr6:coauthVersionMax="33" xr10:uidLastSave="{00000000-0000-0000-0000-000000000000}"/>
  <bookViews>
    <workbookView xWindow="240" yWindow="105" windowWidth="14805" windowHeight="8010" activeTab="1" xr2:uid="{00000000-000D-0000-FFFF-FFFF00000000}"/>
  </bookViews>
  <sheets>
    <sheet name="Tariffs forecast template" sheetId="33" r:id="rId1"/>
    <sheet name="Model simplificat tarife" sheetId="32" r:id="rId2"/>
    <sheet name="centralizare tarife estimate" sheetId="30" r:id="rId3"/>
    <sheet name=" Tarife PS 19-20" sheetId="15" r:id="rId4"/>
    <sheet name=" Tarife PS 20-21" sheetId="22" r:id="rId5"/>
    <sheet name=" Tarife PS 21-22" sheetId="23" r:id="rId6"/>
    <sheet name=" Tarife PS 22-23 " sheetId="21" r:id="rId7"/>
    <sheet name=" Tarife PS 23-24" sheetId="27" r:id="rId8"/>
    <sheet name="ESTIMARE I_E-19-20" sheetId="17" r:id="rId9"/>
    <sheet name="ESTIMARE I_E-20-21" sheetId="24" r:id="rId10"/>
    <sheet name="ESTIMARE I_E-21-22" sheetId="25" r:id="rId11"/>
    <sheet name="ESTIMARE I_E-22-23" sheetId="26" r:id="rId12"/>
    <sheet name="Estimare T1 18-19" sheetId="18" r:id="rId13"/>
    <sheet name="Multiplicatori 19-20-TAR" sheetId="19" r:id="rId14"/>
    <sheet name="Multiplicatori 20-21-TAR" sheetId="28" r:id="rId15"/>
    <sheet name="Multiplicatori 21-22-TAR" sheetId="29" r:id="rId16"/>
    <sheet name="ipoteze" sheetId="4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Fill" localSheetId="3" hidden="1">[1]Fe!#REF!</definedName>
    <definedName name="_Fill" localSheetId="4" hidden="1">[1]Fe!#REF!</definedName>
    <definedName name="_Fill" localSheetId="5" hidden="1">[1]Fe!#REF!</definedName>
    <definedName name="_Fill" localSheetId="6" hidden="1">[1]Fe!#REF!</definedName>
    <definedName name="_Fill" localSheetId="7" hidden="1">[1]Fe!#REF!</definedName>
    <definedName name="_Fill" localSheetId="8" hidden="1">[1]Fe!#REF!</definedName>
    <definedName name="_Fill" localSheetId="9" hidden="1">[1]Fe!#REF!</definedName>
    <definedName name="_Fill" localSheetId="10" hidden="1">[1]Fe!#REF!</definedName>
    <definedName name="_Fill" localSheetId="11" hidden="1">[1]Fe!#REF!</definedName>
    <definedName name="_Fill" localSheetId="1" hidden="1">[1]Fe!#REF!</definedName>
    <definedName name="_Fill" localSheetId="13" hidden="1">[1]Fe!#REF!</definedName>
    <definedName name="_Fill" localSheetId="14" hidden="1">[1]Fe!#REF!</definedName>
    <definedName name="_Fill" localSheetId="15" hidden="1">[1]Fe!#REF!</definedName>
    <definedName name="_Fill" localSheetId="0" hidden="1">[1]Fe!#REF!</definedName>
    <definedName name="_Fill" hidden="1">[1]Fe!#REF!</definedName>
    <definedName name="a" localSheetId="3" hidden="1">[2]Fe!#REF!</definedName>
    <definedName name="a" localSheetId="4" hidden="1">[2]Fe!#REF!</definedName>
    <definedName name="a" localSheetId="5" hidden="1">[2]Fe!#REF!</definedName>
    <definedName name="a" localSheetId="6" hidden="1">[2]Fe!#REF!</definedName>
    <definedName name="a" localSheetId="7" hidden="1">[2]Fe!#REF!</definedName>
    <definedName name="a" localSheetId="8" hidden="1">[3]Fe!#REF!</definedName>
    <definedName name="a" localSheetId="9" hidden="1">[3]Fe!#REF!</definedName>
    <definedName name="a" localSheetId="10" hidden="1">[3]Fe!#REF!</definedName>
    <definedName name="a" localSheetId="11" hidden="1">[3]Fe!#REF!</definedName>
    <definedName name="a" localSheetId="1" hidden="1">[3]Fe!#REF!</definedName>
    <definedName name="a" localSheetId="13" hidden="1">[4]Fe!#REF!</definedName>
    <definedName name="a" localSheetId="14" hidden="1">[4]Fe!#REF!</definedName>
    <definedName name="a" localSheetId="15" hidden="1">[4]Fe!#REF!</definedName>
    <definedName name="a" localSheetId="0" hidden="1">[3]Fe!#REF!</definedName>
    <definedName name="a" hidden="1">[2]Fe!#REF!</definedName>
    <definedName name="aa" localSheetId="3" hidden="1">[2]Fe!#REF!</definedName>
    <definedName name="aa" localSheetId="4" hidden="1">[2]Fe!#REF!</definedName>
    <definedName name="aa" localSheetId="5" hidden="1">[2]Fe!#REF!</definedName>
    <definedName name="aa" localSheetId="6" hidden="1">[2]Fe!#REF!</definedName>
    <definedName name="aa" localSheetId="7" hidden="1">[2]Fe!#REF!</definedName>
    <definedName name="aa" localSheetId="8" hidden="1">[3]Fe!#REF!</definedName>
    <definedName name="aa" localSheetId="9" hidden="1">[3]Fe!#REF!</definedName>
    <definedName name="aa" localSheetId="10" hidden="1">[3]Fe!#REF!</definedName>
    <definedName name="aa" localSheetId="11" hidden="1">[3]Fe!#REF!</definedName>
    <definedName name="aa" localSheetId="1" hidden="1">[3]Fe!#REF!</definedName>
    <definedName name="aa" localSheetId="13" hidden="1">[4]Fe!#REF!</definedName>
    <definedName name="aa" localSheetId="14" hidden="1">[4]Fe!#REF!</definedName>
    <definedName name="aa" localSheetId="15" hidden="1">[4]Fe!#REF!</definedName>
    <definedName name="aa" localSheetId="0" hidden="1">[3]Fe!#REF!</definedName>
    <definedName name="aa" hidden="1">[2]Fe!#REF!</definedName>
    <definedName name="amortizare" localSheetId="3" hidden="1">[5]Fe!#REF!</definedName>
    <definedName name="amortizare" localSheetId="4" hidden="1">[5]Fe!#REF!</definedName>
    <definedName name="amortizare" localSheetId="5" hidden="1">[5]Fe!#REF!</definedName>
    <definedName name="amortizare" localSheetId="6" hidden="1">[5]Fe!#REF!</definedName>
    <definedName name="amortizare" localSheetId="7" hidden="1">[5]Fe!#REF!</definedName>
    <definedName name="amortizare" localSheetId="8" hidden="1">[6]Fe!#REF!</definedName>
    <definedName name="amortizare" localSheetId="9" hidden="1">[6]Fe!#REF!</definedName>
    <definedName name="amortizare" localSheetId="10" hidden="1">[6]Fe!#REF!</definedName>
    <definedName name="amortizare" localSheetId="11" hidden="1">[6]Fe!#REF!</definedName>
    <definedName name="amortizare" localSheetId="1" hidden="1">[6]Fe!#REF!</definedName>
    <definedName name="amortizare" localSheetId="13" hidden="1">[7]Fe!#REF!</definedName>
    <definedName name="amortizare" localSheetId="14" hidden="1">[7]Fe!#REF!</definedName>
    <definedName name="amortizare" localSheetId="15" hidden="1">[7]Fe!#REF!</definedName>
    <definedName name="amortizare" localSheetId="0" hidden="1">[6]Fe!#REF!</definedName>
    <definedName name="amortizare" hidden="1">[5]Fe!#REF!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9">#REF!</definedName>
    <definedName name="ddd" localSheetId="10">#REF!</definedName>
    <definedName name="ddd" localSheetId="11">#REF!</definedName>
    <definedName name="ddd" localSheetId="14">#REF!</definedName>
    <definedName name="ddd" localSheetId="15">#REF!</definedName>
    <definedName name="ddd" localSheetId="0">#REF!</definedName>
    <definedName name="ddd">#REF!</definedName>
    <definedName name="extras_1" localSheetId="3">' Tarife PS 19-20'!#REF!</definedName>
    <definedName name="extras_1" localSheetId="4">' Tarife PS 20-21'!#REF!</definedName>
    <definedName name="extras_1" localSheetId="5">' Tarife PS 21-22'!#REF!</definedName>
    <definedName name="extras_1" localSheetId="6">' Tarife PS 22-23 '!#REF!</definedName>
    <definedName name="extras_1" localSheetId="7">' Tarife PS 23-24'!#REF!</definedName>
    <definedName name="extras_1" localSheetId="8">#REF!</definedName>
    <definedName name="extras_1" localSheetId="9">#REF!</definedName>
    <definedName name="extras_1" localSheetId="10">#REF!</definedName>
    <definedName name="extras_1" localSheetId="11">#REF!</definedName>
    <definedName name="extras_1" localSheetId="1">'Model simplificat tarife'!#REF!</definedName>
    <definedName name="extras_1" localSheetId="13">#REF!</definedName>
    <definedName name="extras_1" localSheetId="14">#REF!</definedName>
    <definedName name="extras_1" localSheetId="15">#REF!</definedName>
    <definedName name="extras_1" localSheetId="0">'Tariffs forecast template'!#REF!</definedName>
    <definedName name="extras_1">#REF!</definedName>
    <definedName name="Fees" localSheetId="4">[8]bei!#REF!</definedName>
    <definedName name="Fees" localSheetId="5">[8]bei!#REF!</definedName>
    <definedName name="Fees" localSheetId="6">[8]bei!#REF!</definedName>
    <definedName name="Fees" localSheetId="7">[8]bei!#REF!</definedName>
    <definedName name="Fees" localSheetId="9">[8]bei!#REF!</definedName>
    <definedName name="Fees" localSheetId="10">[8]bei!#REF!</definedName>
    <definedName name="Fees" localSheetId="11">[8]bei!#REF!</definedName>
    <definedName name="Fees" localSheetId="14">[8]bei!#REF!</definedName>
    <definedName name="Fees" localSheetId="15">[8]bei!#REF!</definedName>
    <definedName name="Fees" localSheetId="0">[8]bei!#REF!</definedName>
    <definedName name="Fees">[8]bei!#REF!</definedName>
    <definedName name="fill" localSheetId="4" hidden="1">[3]Fe!#REF!</definedName>
    <definedName name="fill" localSheetId="5" hidden="1">[3]Fe!#REF!</definedName>
    <definedName name="fill" localSheetId="6" hidden="1">[3]Fe!#REF!</definedName>
    <definedName name="fill" localSheetId="7" hidden="1">[3]Fe!#REF!</definedName>
    <definedName name="fill" localSheetId="9" hidden="1">[3]Fe!#REF!</definedName>
    <definedName name="fill" localSheetId="10" hidden="1">[3]Fe!#REF!</definedName>
    <definedName name="fill" localSheetId="11" hidden="1">[3]Fe!#REF!</definedName>
    <definedName name="fill" localSheetId="14" hidden="1">[3]Fe!#REF!</definedName>
    <definedName name="fill" localSheetId="15" hidden="1">[3]Fe!#REF!</definedName>
    <definedName name="fill" localSheetId="0" hidden="1">[3]Fe!#REF!</definedName>
    <definedName name="fill" hidden="1">[3]Fe!#REF!</definedName>
    <definedName name="montat_robinet_pe_conducta" localSheetId="3">[9]Q2013!#REF!</definedName>
    <definedName name="montat_robinet_pe_conducta" localSheetId="4">[9]Q2013!#REF!</definedName>
    <definedName name="montat_robinet_pe_conducta" localSheetId="5">[9]Q2013!#REF!</definedName>
    <definedName name="montat_robinet_pe_conducta" localSheetId="6">[9]Q2013!#REF!</definedName>
    <definedName name="montat_robinet_pe_conducta" localSheetId="7">[9]Q2013!#REF!</definedName>
    <definedName name="montat_robinet_pe_conducta" localSheetId="8">[10]Q2013!#REF!</definedName>
    <definedName name="montat_robinet_pe_conducta" localSheetId="9">[10]Q2013!#REF!</definedName>
    <definedName name="montat_robinet_pe_conducta" localSheetId="10">[10]Q2013!#REF!</definedName>
    <definedName name="montat_robinet_pe_conducta" localSheetId="11">[10]Q2013!#REF!</definedName>
    <definedName name="montat_robinet_pe_conducta" localSheetId="1">[10]Q2013!#REF!</definedName>
    <definedName name="montat_robinet_pe_conducta" localSheetId="13">[11]Q2013!#REF!</definedName>
    <definedName name="montat_robinet_pe_conducta" localSheetId="14">[11]Q2013!#REF!</definedName>
    <definedName name="montat_robinet_pe_conducta" localSheetId="15">[11]Q2013!#REF!</definedName>
    <definedName name="montat_robinet_pe_conducta" localSheetId="0">[10]Q2013!#REF!</definedName>
    <definedName name="montat_robinet_pe_conducta">[9]Q2013!#REF!</definedName>
    <definedName name="_xlnm.Print_Area" localSheetId="8">'ESTIMARE I_E-19-20'!$A$1:$I$246</definedName>
    <definedName name="_xlnm.Print_Area" localSheetId="9">'ESTIMARE I_E-20-21'!$A$1:$I$246</definedName>
    <definedName name="_xlnm.Print_Area" localSheetId="10">'ESTIMARE I_E-21-22'!$A$1:$I$246</definedName>
    <definedName name="_xlnm.Print_Area" localSheetId="11">'ESTIMARE I_E-22-23'!$A$1:$I$246</definedName>
    <definedName name="_xlnm.Print_Area" localSheetId="12">'Estimare T1 18-19'!$A$1:$U$56</definedName>
    <definedName name="_xlnm.Print_Area" localSheetId="1">'Model simplificat tarife'!$B$1:$V$51</definedName>
    <definedName name="Print_Area_MI" localSheetId="3">' Tarife PS 19-20'!#REF!</definedName>
    <definedName name="Print_Area_MI" localSheetId="4">' Tarife PS 20-21'!#REF!</definedName>
    <definedName name="Print_Area_MI" localSheetId="5">' Tarife PS 21-22'!#REF!</definedName>
    <definedName name="Print_Area_MI" localSheetId="6">' Tarife PS 22-23 '!#REF!</definedName>
    <definedName name="Print_Area_MI" localSheetId="7">' Tarife PS 23-24'!#REF!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">'Model simplificat tarife'!#REF!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0">'Tariffs forecast template'!#REF!</definedName>
    <definedName name="Print_Area_MI">#REF!</definedName>
    <definedName name="_xlnm.Print_Titles" localSheetId="1">'Model simplificat tarife'!$B:$B</definedName>
    <definedName name="sss" localSheetId="4">[10]Q2013!#REF!</definedName>
    <definedName name="sss" localSheetId="5">[10]Q2013!#REF!</definedName>
    <definedName name="sss" localSheetId="6">[10]Q2013!#REF!</definedName>
    <definedName name="sss" localSheetId="7">[10]Q2013!#REF!</definedName>
    <definedName name="sss" localSheetId="9">[10]Q2013!#REF!</definedName>
    <definedName name="sss" localSheetId="10">[10]Q2013!#REF!</definedName>
    <definedName name="sss" localSheetId="11">[10]Q2013!#REF!</definedName>
    <definedName name="sss" localSheetId="14">[10]Q2013!#REF!</definedName>
    <definedName name="sss" localSheetId="15">[10]Q2013!#REF!</definedName>
    <definedName name="sss" localSheetId="0">[10]Q2013!#REF!</definedName>
    <definedName name="sss">[10]Q2013!#REF!</definedName>
    <definedName name="xy" localSheetId="4">#REF!</definedName>
    <definedName name="xy" localSheetId="5">#REF!</definedName>
    <definedName name="xy" localSheetId="6">#REF!</definedName>
    <definedName name="xy" localSheetId="7">#REF!</definedName>
    <definedName name="xy" localSheetId="9">#REF!</definedName>
    <definedName name="xy" localSheetId="10">#REF!</definedName>
    <definedName name="xy" localSheetId="11">#REF!</definedName>
    <definedName name="xy" localSheetId="14">#REF!</definedName>
    <definedName name="xy" localSheetId="15">#REF!</definedName>
    <definedName name="xy" localSheetId="0">#REF!</definedName>
    <definedName name="xy">#REF!</definedName>
  </definedNames>
  <calcPr calcId="162913" iterate="1"/>
</workbook>
</file>

<file path=xl/calcChain.xml><?xml version="1.0" encoding="utf-8"?>
<calcChain xmlns="http://schemas.openxmlformats.org/spreadsheetml/2006/main">
  <c r="E4" i="33" l="1"/>
  <c r="E47" i="33" s="1"/>
  <c r="E48" i="33" s="1"/>
  <c r="D4" i="33"/>
  <c r="D47" i="33" s="1"/>
  <c r="D48" i="33" s="1"/>
  <c r="U4" i="33"/>
  <c r="U47" i="33" s="1"/>
  <c r="U48" i="33" s="1"/>
  <c r="P4" i="33"/>
  <c r="P47" i="33" s="1"/>
  <c r="P48" i="33" s="1"/>
  <c r="M4" i="33"/>
  <c r="M47" i="33" s="1"/>
  <c r="M48" i="33" s="1"/>
  <c r="I4" i="33"/>
  <c r="I47" i="33" s="1"/>
  <c r="I48" i="33" s="1"/>
  <c r="Q4" i="32"/>
  <c r="Q48" i="32" s="1"/>
  <c r="H4" i="33" l="1"/>
  <c r="H47" i="33" s="1"/>
  <c r="H48" i="33" s="1"/>
  <c r="Q4" i="33"/>
  <c r="Q47" i="33" s="1"/>
  <c r="Q48" i="33" s="1"/>
  <c r="L4" i="33"/>
  <c r="L47" i="33" s="1"/>
  <c r="L48" i="33" s="1"/>
  <c r="T4" i="33"/>
  <c r="T47" i="33" s="1"/>
  <c r="T48" i="33" s="1"/>
  <c r="Q49" i="32"/>
  <c r="F4" i="32"/>
  <c r="F48" i="32" s="1"/>
  <c r="E4" i="32"/>
  <c r="E48" i="32" s="1"/>
  <c r="N4" i="32"/>
  <c r="N48" i="32" s="1"/>
  <c r="M4" i="32"/>
  <c r="M48" i="32" s="1"/>
  <c r="V4" i="32"/>
  <c r="V48" i="32" s="1"/>
  <c r="U4" i="32"/>
  <c r="U48" i="32" s="1"/>
  <c r="J4" i="32"/>
  <c r="J48" i="32" s="1"/>
  <c r="I4" i="32"/>
  <c r="I48" i="32" s="1"/>
  <c r="R4" i="32"/>
  <c r="R48" i="32" s="1"/>
  <c r="M49" i="32" l="1"/>
  <c r="N49" i="32"/>
  <c r="F49" i="32"/>
  <c r="U49" i="32"/>
  <c r="J49" i="32"/>
  <c r="V49" i="32"/>
  <c r="R49" i="32"/>
  <c r="I49" i="32"/>
  <c r="E49" i="32"/>
  <c r="E28" i="29" l="1"/>
  <c r="E27" i="29"/>
  <c r="E26" i="29"/>
  <c r="E25" i="29"/>
  <c r="E24" i="29"/>
  <c r="E23" i="29"/>
  <c r="E22" i="29"/>
  <c r="E21" i="29"/>
  <c r="E20" i="29"/>
  <c r="D28" i="29"/>
  <c r="D27" i="29"/>
  <c r="D26" i="29"/>
  <c r="D25" i="29"/>
  <c r="D24" i="29"/>
  <c r="D23" i="29"/>
  <c r="D22" i="29"/>
  <c r="D21" i="29"/>
  <c r="D20" i="29"/>
  <c r="C32" i="29"/>
  <c r="E31" i="29"/>
  <c r="D31" i="29"/>
  <c r="B31" i="29" s="1"/>
  <c r="F31" i="29" s="1"/>
  <c r="N3" i="29" s="1"/>
  <c r="E30" i="29"/>
  <c r="D30" i="29"/>
  <c r="B30" i="29"/>
  <c r="F30" i="29" s="1"/>
  <c r="M3" i="29" s="1"/>
  <c r="E29" i="29"/>
  <c r="D29" i="29"/>
  <c r="B29" i="29" s="1"/>
  <c r="F29" i="29" s="1"/>
  <c r="L3" i="29" s="1"/>
  <c r="F27" i="29"/>
  <c r="J3" i="29" s="1"/>
  <c r="F26" i="29"/>
  <c r="I3" i="29" s="1"/>
  <c r="F23" i="29"/>
  <c r="F3" i="29" s="1"/>
  <c r="F22" i="29"/>
  <c r="E3" i="29" s="1"/>
  <c r="B30" i="28"/>
  <c r="F30" i="28" s="1"/>
  <c r="M3" i="28" s="1"/>
  <c r="D31" i="28"/>
  <c r="B31" i="28" s="1"/>
  <c r="F31" i="28" s="1"/>
  <c r="N3" i="28" s="1"/>
  <c r="D30" i="28"/>
  <c r="D29" i="28"/>
  <c r="B29" i="28" s="1"/>
  <c r="E31" i="28"/>
  <c r="E30" i="28"/>
  <c r="E29" i="28"/>
  <c r="E32" i="28" s="1"/>
  <c r="C32" i="28"/>
  <c r="F28" i="28"/>
  <c r="F27" i="28"/>
  <c r="J3" i="28" s="1"/>
  <c r="F26" i="28"/>
  <c r="F25" i="28"/>
  <c r="H3" i="28" s="1"/>
  <c r="F24" i="28"/>
  <c r="F23" i="28"/>
  <c r="F3" i="28" s="1"/>
  <c r="F22" i="28"/>
  <c r="E3" i="28" s="1"/>
  <c r="F21" i="28"/>
  <c r="D3" i="28" s="1"/>
  <c r="F20" i="28"/>
  <c r="K3" i="28"/>
  <c r="I3" i="28"/>
  <c r="G3" i="28"/>
  <c r="C3" i="28"/>
  <c r="C42" i="27"/>
  <c r="G42" i="27" s="1"/>
  <c r="H41" i="27"/>
  <c r="C40" i="27"/>
  <c r="G40" i="27" s="1"/>
  <c r="H39" i="27"/>
  <c r="C38" i="27"/>
  <c r="G38" i="27" s="1"/>
  <c r="C36" i="27"/>
  <c r="C34" i="27"/>
  <c r="H34" i="27" s="1"/>
  <c r="C32" i="27"/>
  <c r="G32" i="27" s="1"/>
  <c r="H30" i="27"/>
  <c r="G30" i="27"/>
  <c r="C28" i="27"/>
  <c r="H28" i="27" s="1"/>
  <c r="C26" i="27"/>
  <c r="C24" i="27"/>
  <c r="H24" i="27" s="1"/>
  <c r="C22" i="27"/>
  <c r="C20" i="27"/>
  <c r="H20" i="27" s="1"/>
  <c r="H19" i="27"/>
  <c r="H18" i="27"/>
  <c r="G18" i="27"/>
  <c r="H16" i="27"/>
  <c r="G16" i="27"/>
  <c r="H14" i="27"/>
  <c r="H12" i="27"/>
  <c r="H10" i="27"/>
  <c r="G10" i="27"/>
  <c r="G9" i="27"/>
  <c r="N8" i="27"/>
  <c r="H8" i="27"/>
  <c r="F21" i="29" l="1"/>
  <c r="D3" i="29" s="1"/>
  <c r="F25" i="29"/>
  <c r="H3" i="29" s="1"/>
  <c r="D32" i="28"/>
  <c r="F20" i="29"/>
  <c r="C3" i="29" s="1"/>
  <c r="F24" i="29"/>
  <c r="G3" i="29" s="1"/>
  <c r="F28" i="29"/>
  <c r="K3" i="29" s="1"/>
  <c r="H42" i="27"/>
  <c r="G34" i="27"/>
  <c r="H40" i="27"/>
  <c r="H38" i="27"/>
  <c r="E32" i="29"/>
  <c r="O3" i="29"/>
  <c r="N4" i="29" s="1"/>
  <c r="N5" i="29" s="1"/>
  <c r="N6" i="29" s="1"/>
  <c r="D32" i="29"/>
  <c r="F32" i="29"/>
  <c r="K4" i="29"/>
  <c r="K5" i="29" s="1"/>
  <c r="K6" i="29" s="1"/>
  <c r="B32" i="29"/>
  <c r="F29" i="28"/>
  <c r="L3" i="28" s="1"/>
  <c r="O3" i="28" s="1"/>
  <c r="C4" i="28" s="1"/>
  <c r="C5" i="28" s="1"/>
  <c r="C6" i="28" s="1"/>
  <c r="B32" i="28"/>
  <c r="H26" i="27"/>
  <c r="H36" i="27"/>
  <c r="G36" i="27"/>
  <c r="G20" i="27"/>
  <c r="H22" i="27"/>
  <c r="H32" i="27"/>
  <c r="C49" i="21" l="1"/>
  <c r="C49" i="23"/>
  <c r="C49" i="27"/>
  <c r="J4" i="29"/>
  <c r="J5" i="29" s="1"/>
  <c r="J6" i="29" s="1"/>
  <c r="I7" i="29" s="1"/>
  <c r="I4" i="29"/>
  <c r="I5" i="29" s="1"/>
  <c r="I6" i="29" s="1"/>
  <c r="F32" i="28"/>
  <c r="C48" i="22" s="1"/>
  <c r="G4" i="29"/>
  <c r="G5" i="29" s="1"/>
  <c r="G6" i="29" s="1"/>
  <c r="H4" i="29"/>
  <c r="H5" i="29" s="1"/>
  <c r="H6" i="29" s="1"/>
  <c r="M4" i="29"/>
  <c r="M5" i="29" s="1"/>
  <c r="M6" i="29" s="1"/>
  <c r="C4" i="29"/>
  <c r="C5" i="29" s="1"/>
  <c r="C6" i="29" s="1"/>
  <c r="E4" i="29"/>
  <c r="E5" i="29" s="1"/>
  <c r="E6" i="29" s="1"/>
  <c r="D4" i="29"/>
  <c r="D5" i="29" s="1"/>
  <c r="D6" i="29" s="1"/>
  <c r="C7" i="29" s="1"/>
  <c r="F4" i="29"/>
  <c r="F5" i="29" s="1"/>
  <c r="F6" i="29" s="1"/>
  <c r="F7" i="29" s="1"/>
  <c r="L4" i="29"/>
  <c r="L5" i="29" s="1"/>
  <c r="L6" i="29" s="1"/>
  <c r="L4" i="28"/>
  <c r="L5" i="28" s="1"/>
  <c r="L6" i="28" s="1"/>
  <c r="G4" i="28"/>
  <c r="G5" i="28" s="1"/>
  <c r="G6" i="28" s="1"/>
  <c r="H4" i="28"/>
  <c r="H5" i="28" s="1"/>
  <c r="H6" i="28" s="1"/>
  <c r="M4" i="28"/>
  <c r="M5" i="28" s="1"/>
  <c r="M6" i="28" s="1"/>
  <c r="I4" i="28"/>
  <c r="I5" i="28" s="1"/>
  <c r="I6" i="28" s="1"/>
  <c r="E4" i="28"/>
  <c r="E5" i="28" s="1"/>
  <c r="E6" i="28" s="1"/>
  <c r="D4" i="28"/>
  <c r="D5" i="28" s="1"/>
  <c r="D6" i="28" s="1"/>
  <c r="N4" i="28"/>
  <c r="N5" i="28" s="1"/>
  <c r="N6" i="28" s="1"/>
  <c r="F4" i="28"/>
  <c r="F5" i="28" s="1"/>
  <c r="F6" i="28" s="1"/>
  <c r="K4" i="28"/>
  <c r="K5" i="28" s="1"/>
  <c r="K6" i="28" s="1"/>
  <c r="J4" i="28"/>
  <c r="J5" i="28" s="1"/>
  <c r="J6" i="28" s="1"/>
  <c r="L7" i="29" l="1"/>
  <c r="O6" i="29"/>
  <c r="B11" i="29" s="1"/>
  <c r="B9" i="29"/>
  <c r="O9" i="29" s="1"/>
  <c r="L7" i="28"/>
  <c r="O6" i="28"/>
  <c r="B12" i="28" s="1"/>
  <c r="F7" i="28"/>
  <c r="I7" i="28"/>
  <c r="C7" i="28"/>
  <c r="B12" i="29" l="1"/>
  <c r="H12" i="29" s="1"/>
  <c r="N12" i="29"/>
  <c r="L12" i="29"/>
  <c r="E12" i="29"/>
  <c r="G12" i="29"/>
  <c r="F12" i="29"/>
  <c r="I12" i="29"/>
  <c r="C12" i="29"/>
  <c r="D12" i="29"/>
  <c r="G9" i="29"/>
  <c r="F9" i="29"/>
  <c r="C9" i="29"/>
  <c r="H9" i="29"/>
  <c r="J9" i="29"/>
  <c r="D9" i="29"/>
  <c r="N9" i="29"/>
  <c r="L9" i="29"/>
  <c r="K9" i="29"/>
  <c r="M9" i="29"/>
  <c r="I9" i="29"/>
  <c r="I10" i="29" s="1"/>
  <c r="E9" i="29"/>
  <c r="F11" i="29"/>
  <c r="N11" i="29"/>
  <c r="M11" i="29"/>
  <c r="L11" i="29"/>
  <c r="C11" i="29"/>
  <c r="E11" i="29"/>
  <c r="D11" i="29"/>
  <c r="G11" i="29"/>
  <c r="I11" i="29"/>
  <c r="K11" i="29"/>
  <c r="J11" i="29"/>
  <c r="H11" i="29"/>
  <c r="O12" i="28"/>
  <c r="I12" i="28"/>
  <c r="F12" i="28"/>
  <c r="N12" i="28"/>
  <c r="K12" i="28"/>
  <c r="J12" i="28"/>
  <c r="D12" i="28"/>
  <c r="H12" i="28"/>
  <c r="E12" i="28"/>
  <c r="M12" i="28"/>
  <c r="B11" i="28"/>
  <c r="C11" i="28" s="1"/>
  <c r="D19" i="22" s="1"/>
  <c r="B9" i="28"/>
  <c r="L9" i="28" s="1"/>
  <c r="L12" i="28"/>
  <c r="G12" i="28"/>
  <c r="C12" i="28"/>
  <c r="D33" i="27" l="1"/>
  <c r="D33" i="23"/>
  <c r="D39" i="23"/>
  <c r="D39" i="27"/>
  <c r="D35" i="23"/>
  <c r="D35" i="27"/>
  <c r="D23" i="27"/>
  <c r="D23" i="23"/>
  <c r="D41" i="27"/>
  <c r="D41" i="23"/>
  <c r="D21" i="23"/>
  <c r="D21" i="27"/>
  <c r="D31" i="27"/>
  <c r="D31" i="23"/>
  <c r="D19" i="27"/>
  <c r="D19" i="23"/>
  <c r="D25" i="27"/>
  <c r="D25" i="23"/>
  <c r="D15" i="23"/>
  <c r="D15" i="27"/>
  <c r="D29" i="23"/>
  <c r="D29" i="27"/>
  <c r="D27" i="27"/>
  <c r="D27" i="23"/>
  <c r="D37" i="23"/>
  <c r="D37" i="27"/>
  <c r="J12" i="29"/>
  <c r="O12" i="29"/>
  <c r="M12" i="29"/>
  <c r="K12" i="29"/>
  <c r="C10" i="29"/>
  <c r="F10" i="29"/>
  <c r="O11" i="29"/>
  <c r="L10" i="29"/>
  <c r="G11" i="28"/>
  <c r="D27" i="22" s="1"/>
  <c r="F9" i="28"/>
  <c r="K9" i="28"/>
  <c r="M9" i="28"/>
  <c r="H9" i="28"/>
  <c r="N9" i="28"/>
  <c r="J9" i="28"/>
  <c r="D9" i="28"/>
  <c r="G9" i="28"/>
  <c r="E11" i="28"/>
  <c r="D23" i="22" s="1"/>
  <c r="D11" i="28"/>
  <c r="D21" i="22" s="1"/>
  <c r="J11" i="28"/>
  <c r="D33" i="22" s="1"/>
  <c r="F11" i="28"/>
  <c r="D25" i="22" s="1"/>
  <c r="I11" i="28"/>
  <c r="D31" i="22" s="1"/>
  <c r="M11" i="28"/>
  <c r="D39" i="22" s="1"/>
  <c r="H11" i="28"/>
  <c r="D29" i="22" s="1"/>
  <c r="N11" i="28"/>
  <c r="D41" i="22" s="1"/>
  <c r="K11" i="28"/>
  <c r="D35" i="22" s="1"/>
  <c r="C9" i="28"/>
  <c r="I9" i="28"/>
  <c r="O9" i="28"/>
  <c r="L11" i="28"/>
  <c r="D37" i="22" s="1"/>
  <c r="E9" i="28"/>
  <c r="D13" i="23" l="1"/>
  <c r="D13" i="27"/>
  <c r="D16" i="27"/>
  <c r="D22" i="27"/>
  <c r="D11" i="23"/>
  <c r="D11" i="27"/>
  <c r="D28" i="27"/>
  <c r="D20" i="27"/>
  <c r="J19" i="27"/>
  <c r="D24" i="27"/>
  <c r="L10" i="28"/>
  <c r="D17" i="22" s="1"/>
  <c r="D17" i="27"/>
  <c r="D17" i="23"/>
  <c r="D38" i="27"/>
  <c r="D30" i="27"/>
  <c r="D36" i="27"/>
  <c r="J39" i="27"/>
  <c r="D40" i="27"/>
  <c r="D26" i="27"/>
  <c r="D32" i="27"/>
  <c r="D42" i="27"/>
  <c r="J41" i="27"/>
  <c r="D34" i="27"/>
  <c r="F10" i="28"/>
  <c r="D13" i="22" s="1"/>
  <c r="O11" i="28"/>
  <c r="C10" i="28"/>
  <c r="D11" i="22" s="1"/>
  <c r="I10" i="28"/>
  <c r="D15" i="22" s="1"/>
  <c r="J30" i="27" l="1"/>
  <c r="I30" i="27"/>
  <c r="I32" i="27"/>
  <c r="J32" i="27"/>
  <c r="J38" i="27"/>
  <c r="I38" i="27"/>
  <c r="J28" i="27"/>
  <c r="J22" i="27"/>
  <c r="J16" i="27"/>
  <c r="I16" i="27"/>
  <c r="I36" i="27"/>
  <c r="J36" i="27"/>
  <c r="J42" i="27"/>
  <c r="I42" i="27"/>
  <c r="J40" i="27"/>
  <c r="I40" i="27"/>
  <c r="D14" i="27"/>
  <c r="J26" i="27"/>
  <c r="D18" i="27"/>
  <c r="J34" i="27"/>
  <c r="I34" i="27"/>
  <c r="J24" i="27"/>
  <c r="I20" i="27"/>
  <c r="J20" i="27"/>
  <c r="D12" i="27"/>
  <c r="C256" i="26"/>
  <c r="C255" i="26"/>
  <c r="C254" i="26"/>
  <c r="B253" i="26"/>
  <c r="C253" i="26" s="1"/>
  <c r="C252" i="26"/>
  <c r="C251" i="26"/>
  <c r="H234" i="26"/>
  <c r="G234" i="26"/>
  <c r="I234" i="26" s="1"/>
  <c r="D234" i="26"/>
  <c r="C234" i="26"/>
  <c r="E234" i="26" s="1"/>
  <c r="H233" i="26"/>
  <c r="G233" i="26"/>
  <c r="I233" i="26" s="1"/>
  <c r="D233" i="26"/>
  <c r="C233" i="26"/>
  <c r="E233" i="26" s="1"/>
  <c r="I232" i="26"/>
  <c r="H232" i="26"/>
  <c r="G232" i="26"/>
  <c r="D232" i="26"/>
  <c r="C232" i="26"/>
  <c r="E232" i="26" s="1"/>
  <c r="H231" i="26"/>
  <c r="G231" i="26"/>
  <c r="I231" i="26" s="1"/>
  <c r="E231" i="26"/>
  <c r="D231" i="26"/>
  <c r="C231" i="26"/>
  <c r="H230" i="26"/>
  <c r="G230" i="26"/>
  <c r="I230" i="26" s="1"/>
  <c r="D230" i="26"/>
  <c r="C230" i="26"/>
  <c r="E230" i="26" s="1"/>
  <c r="H229" i="26"/>
  <c r="G229" i="26"/>
  <c r="I229" i="26" s="1"/>
  <c r="D229" i="26"/>
  <c r="C229" i="26"/>
  <c r="E229" i="26" s="1"/>
  <c r="I228" i="26"/>
  <c r="H228" i="26"/>
  <c r="G228" i="26"/>
  <c r="D228" i="26"/>
  <c r="C228" i="26"/>
  <c r="E228" i="26" s="1"/>
  <c r="H227" i="26"/>
  <c r="G227" i="26"/>
  <c r="I227" i="26" s="1"/>
  <c r="D227" i="26"/>
  <c r="C227" i="26"/>
  <c r="E227" i="26" s="1"/>
  <c r="H226" i="26"/>
  <c r="G226" i="26"/>
  <c r="I226" i="26" s="1"/>
  <c r="D226" i="26"/>
  <c r="C226" i="26"/>
  <c r="E226" i="26" s="1"/>
  <c r="H225" i="26"/>
  <c r="G225" i="26"/>
  <c r="I225" i="26" s="1"/>
  <c r="D225" i="26"/>
  <c r="C225" i="26"/>
  <c r="E225" i="26" s="1"/>
  <c r="H224" i="26"/>
  <c r="G224" i="26"/>
  <c r="I224" i="26" s="1"/>
  <c r="D224" i="26"/>
  <c r="C224" i="26"/>
  <c r="E224" i="26" s="1"/>
  <c r="H223" i="26"/>
  <c r="G223" i="26"/>
  <c r="D223" i="26"/>
  <c r="C223" i="26"/>
  <c r="E223" i="26" s="1"/>
  <c r="I221" i="26"/>
  <c r="H221" i="26"/>
  <c r="G221" i="26"/>
  <c r="D221" i="26"/>
  <c r="C221" i="26"/>
  <c r="E221" i="26" s="1"/>
  <c r="H220" i="26"/>
  <c r="G220" i="26"/>
  <c r="I220" i="26" s="1"/>
  <c r="D220" i="26"/>
  <c r="C220" i="26"/>
  <c r="E220" i="26" s="1"/>
  <c r="H219" i="26"/>
  <c r="G219" i="26"/>
  <c r="I219" i="26" s="1"/>
  <c r="D219" i="26"/>
  <c r="C219" i="26"/>
  <c r="E219" i="26" s="1"/>
  <c r="H218" i="26"/>
  <c r="G218" i="26"/>
  <c r="I218" i="26" s="1"/>
  <c r="D218" i="26"/>
  <c r="C218" i="26"/>
  <c r="E218" i="26" s="1"/>
  <c r="I217" i="26"/>
  <c r="H217" i="26"/>
  <c r="G217" i="26"/>
  <c r="E217" i="26"/>
  <c r="D217" i="26"/>
  <c r="C217" i="26"/>
  <c r="H216" i="26"/>
  <c r="G216" i="26"/>
  <c r="I216" i="26" s="1"/>
  <c r="D216" i="26"/>
  <c r="C216" i="26"/>
  <c r="E216" i="26" s="1"/>
  <c r="H215" i="26"/>
  <c r="G215" i="26"/>
  <c r="I215" i="26" s="1"/>
  <c r="D215" i="26"/>
  <c r="C215" i="26"/>
  <c r="E215" i="26" s="1"/>
  <c r="H214" i="26"/>
  <c r="G214" i="26"/>
  <c r="I214" i="26" s="1"/>
  <c r="D214" i="26"/>
  <c r="C214" i="26"/>
  <c r="E214" i="26" s="1"/>
  <c r="I213" i="26"/>
  <c r="H213" i="26"/>
  <c r="G213" i="26"/>
  <c r="E213" i="26"/>
  <c r="D213" i="26"/>
  <c r="C213" i="26"/>
  <c r="H212" i="26"/>
  <c r="G212" i="26"/>
  <c r="I212" i="26" s="1"/>
  <c r="D212" i="26"/>
  <c r="C212" i="26"/>
  <c r="E212" i="26" s="1"/>
  <c r="H211" i="26"/>
  <c r="G211" i="26"/>
  <c r="I211" i="26" s="1"/>
  <c r="D211" i="26"/>
  <c r="C211" i="26"/>
  <c r="E211" i="26" s="1"/>
  <c r="H210" i="26"/>
  <c r="G210" i="26"/>
  <c r="D210" i="26"/>
  <c r="C210" i="26"/>
  <c r="E210" i="26" s="1"/>
  <c r="I208" i="26"/>
  <c r="H208" i="26"/>
  <c r="G208" i="26"/>
  <c r="E208" i="26"/>
  <c r="D208" i="26"/>
  <c r="C208" i="26"/>
  <c r="H207" i="26"/>
  <c r="G207" i="26"/>
  <c r="I207" i="26" s="1"/>
  <c r="D207" i="26"/>
  <c r="C207" i="26"/>
  <c r="E207" i="26" s="1"/>
  <c r="H206" i="26"/>
  <c r="G206" i="26"/>
  <c r="I206" i="26" s="1"/>
  <c r="D206" i="26"/>
  <c r="C206" i="26"/>
  <c r="E206" i="26" s="1"/>
  <c r="H205" i="26"/>
  <c r="G205" i="26"/>
  <c r="I205" i="26" s="1"/>
  <c r="D205" i="26"/>
  <c r="C205" i="26"/>
  <c r="E205" i="26" s="1"/>
  <c r="I204" i="26"/>
  <c r="H204" i="26"/>
  <c r="G204" i="26"/>
  <c r="E204" i="26"/>
  <c r="D204" i="26"/>
  <c r="C204" i="26"/>
  <c r="H203" i="26"/>
  <c r="G203" i="26"/>
  <c r="I203" i="26" s="1"/>
  <c r="D203" i="26"/>
  <c r="C203" i="26"/>
  <c r="E203" i="26" s="1"/>
  <c r="H202" i="26"/>
  <c r="G202" i="26"/>
  <c r="D202" i="26"/>
  <c r="C202" i="26"/>
  <c r="E202" i="26" s="1"/>
  <c r="H201" i="26"/>
  <c r="G201" i="26"/>
  <c r="I201" i="26" s="1"/>
  <c r="D201" i="26"/>
  <c r="C201" i="26"/>
  <c r="E201" i="26" s="1"/>
  <c r="I200" i="26"/>
  <c r="H200" i="26"/>
  <c r="G200" i="26"/>
  <c r="E200" i="26"/>
  <c r="D200" i="26"/>
  <c r="C200" i="26"/>
  <c r="H199" i="26"/>
  <c r="G199" i="26"/>
  <c r="I199" i="26" s="1"/>
  <c r="D199" i="26"/>
  <c r="C199" i="26"/>
  <c r="E199" i="26" s="1"/>
  <c r="H198" i="26"/>
  <c r="G198" i="26"/>
  <c r="I198" i="26" s="1"/>
  <c r="D198" i="26"/>
  <c r="C198" i="26"/>
  <c r="E198" i="26" s="1"/>
  <c r="H197" i="26"/>
  <c r="G197" i="26"/>
  <c r="D197" i="26"/>
  <c r="C197" i="26"/>
  <c r="E197" i="26" s="1"/>
  <c r="I195" i="26"/>
  <c r="H195" i="26"/>
  <c r="G195" i="26"/>
  <c r="E195" i="26"/>
  <c r="D195" i="26"/>
  <c r="C195" i="26"/>
  <c r="H194" i="26"/>
  <c r="G194" i="26"/>
  <c r="I194" i="26" s="1"/>
  <c r="D194" i="26"/>
  <c r="C194" i="26"/>
  <c r="E194" i="26" s="1"/>
  <c r="H193" i="26"/>
  <c r="G193" i="26"/>
  <c r="I193" i="26" s="1"/>
  <c r="D193" i="26"/>
  <c r="C193" i="26"/>
  <c r="E193" i="26" s="1"/>
  <c r="H192" i="26"/>
  <c r="G192" i="26"/>
  <c r="I192" i="26" s="1"/>
  <c r="D192" i="26"/>
  <c r="C192" i="26"/>
  <c r="E192" i="26" s="1"/>
  <c r="I191" i="26"/>
  <c r="H191" i="26"/>
  <c r="G191" i="26"/>
  <c r="E191" i="26"/>
  <c r="D191" i="26"/>
  <c r="C191" i="26"/>
  <c r="H190" i="26"/>
  <c r="G190" i="26"/>
  <c r="I190" i="26" s="1"/>
  <c r="D190" i="26"/>
  <c r="C190" i="26"/>
  <c r="E190" i="26" s="1"/>
  <c r="H189" i="26"/>
  <c r="G189" i="26"/>
  <c r="D189" i="26"/>
  <c r="C189" i="26"/>
  <c r="E189" i="26" s="1"/>
  <c r="H188" i="26"/>
  <c r="G188" i="26"/>
  <c r="I188" i="26" s="1"/>
  <c r="D188" i="26"/>
  <c r="C188" i="26"/>
  <c r="E188" i="26" s="1"/>
  <c r="I187" i="26"/>
  <c r="H187" i="26"/>
  <c r="G187" i="26"/>
  <c r="D187" i="26"/>
  <c r="C187" i="26"/>
  <c r="E187" i="26" s="1"/>
  <c r="H186" i="26"/>
  <c r="G186" i="26"/>
  <c r="I186" i="26" s="1"/>
  <c r="D186" i="26"/>
  <c r="C186" i="26"/>
  <c r="E186" i="26" s="1"/>
  <c r="H185" i="26"/>
  <c r="G185" i="26"/>
  <c r="I185" i="26" s="1"/>
  <c r="D185" i="26"/>
  <c r="C185" i="26"/>
  <c r="E185" i="26" s="1"/>
  <c r="H184" i="26"/>
  <c r="G184" i="26"/>
  <c r="D184" i="26"/>
  <c r="C184" i="26"/>
  <c r="E184" i="26" s="1"/>
  <c r="I182" i="26"/>
  <c r="H182" i="26"/>
  <c r="G182" i="26"/>
  <c r="D182" i="26"/>
  <c r="C182" i="26"/>
  <c r="E182" i="26" s="1"/>
  <c r="H181" i="26"/>
  <c r="G181" i="26"/>
  <c r="I181" i="26" s="1"/>
  <c r="D181" i="26"/>
  <c r="C181" i="26"/>
  <c r="E181" i="26" s="1"/>
  <c r="H180" i="26"/>
  <c r="G180" i="26"/>
  <c r="I180" i="26" s="1"/>
  <c r="D180" i="26"/>
  <c r="C180" i="26"/>
  <c r="E180" i="26" s="1"/>
  <c r="H179" i="26"/>
  <c r="G179" i="26"/>
  <c r="I179" i="26" s="1"/>
  <c r="D179" i="26"/>
  <c r="C179" i="26"/>
  <c r="E179" i="26" s="1"/>
  <c r="I178" i="26"/>
  <c r="H178" i="26"/>
  <c r="G178" i="26"/>
  <c r="D178" i="26"/>
  <c r="C178" i="26"/>
  <c r="E178" i="26" s="1"/>
  <c r="H177" i="26"/>
  <c r="G177" i="26"/>
  <c r="I177" i="26" s="1"/>
  <c r="D177" i="26"/>
  <c r="C177" i="26"/>
  <c r="E177" i="26" s="1"/>
  <c r="H176" i="26"/>
  <c r="G176" i="26"/>
  <c r="D176" i="26"/>
  <c r="C176" i="26"/>
  <c r="E176" i="26" s="1"/>
  <c r="H175" i="26"/>
  <c r="G175" i="26"/>
  <c r="I175" i="26" s="1"/>
  <c r="D175" i="26"/>
  <c r="C175" i="26"/>
  <c r="E175" i="26" s="1"/>
  <c r="I174" i="26"/>
  <c r="H174" i="26"/>
  <c r="G174" i="26"/>
  <c r="D174" i="26"/>
  <c r="C174" i="26"/>
  <c r="E174" i="26" s="1"/>
  <c r="H173" i="26"/>
  <c r="G173" i="26"/>
  <c r="I173" i="26" s="1"/>
  <c r="D173" i="26"/>
  <c r="C173" i="26"/>
  <c r="E173" i="26" s="1"/>
  <c r="H172" i="26"/>
  <c r="G172" i="26"/>
  <c r="I172" i="26" s="1"/>
  <c r="D172" i="26"/>
  <c r="C172" i="26"/>
  <c r="E172" i="26" s="1"/>
  <c r="H171" i="26"/>
  <c r="G171" i="26"/>
  <c r="D171" i="26"/>
  <c r="C171" i="26"/>
  <c r="E171" i="26" s="1"/>
  <c r="I169" i="26"/>
  <c r="H169" i="26"/>
  <c r="G169" i="26"/>
  <c r="D169" i="26"/>
  <c r="C169" i="26"/>
  <c r="E169" i="26" s="1"/>
  <c r="H168" i="26"/>
  <c r="G168" i="26"/>
  <c r="I168" i="26" s="1"/>
  <c r="D168" i="26"/>
  <c r="C168" i="26"/>
  <c r="E168" i="26" s="1"/>
  <c r="H167" i="26"/>
  <c r="G167" i="26"/>
  <c r="I167" i="26" s="1"/>
  <c r="D167" i="26"/>
  <c r="C167" i="26"/>
  <c r="E167" i="26" s="1"/>
  <c r="H166" i="26"/>
  <c r="G166" i="26"/>
  <c r="I166" i="26" s="1"/>
  <c r="D166" i="26"/>
  <c r="C166" i="26"/>
  <c r="E166" i="26" s="1"/>
  <c r="I165" i="26"/>
  <c r="H165" i="26"/>
  <c r="G165" i="26"/>
  <c r="D165" i="26"/>
  <c r="C165" i="26"/>
  <c r="E165" i="26" s="1"/>
  <c r="H164" i="26"/>
  <c r="G164" i="26"/>
  <c r="I164" i="26" s="1"/>
  <c r="D164" i="26"/>
  <c r="C164" i="26"/>
  <c r="E164" i="26" s="1"/>
  <c r="H163" i="26"/>
  <c r="G163" i="26"/>
  <c r="I163" i="26" s="1"/>
  <c r="D163" i="26"/>
  <c r="C163" i="26"/>
  <c r="E163" i="26" s="1"/>
  <c r="H162" i="26"/>
  <c r="G162" i="26"/>
  <c r="I162" i="26" s="1"/>
  <c r="D162" i="26"/>
  <c r="C162" i="26"/>
  <c r="E162" i="26" s="1"/>
  <c r="I161" i="26"/>
  <c r="H161" i="26"/>
  <c r="G161" i="26"/>
  <c r="D161" i="26"/>
  <c r="C161" i="26"/>
  <c r="E161" i="26" s="1"/>
  <c r="H160" i="26"/>
  <c r="G160" i="26"/>
  <c r="I160" i="26" s="1"/>
  <c r="D160" i="26"/>
  <c r="C160" i="26"/>
  <c r="E160" i="26" s="1"/>
  <c r="H159" i="26"/>
  <c r="G159" i="26"/>
  <c r="I159" i="26" s="1"/>
  <c r="D159" i="26"/>
  <c r="C159" i="26"/>
  <c r="E159" i="26" s="1"/>
  <c r="H158" i="26"/>
  <c r="G158" i="26"/>
  <c r="D158" i="26"/>
  <c r="C158" i="26"/>
  <c r="E158" i="26" s="1"/>
  <c r="I156" i="26"/>
  <c r="H156" i="26"/>
  <c r="G156" i="26"/>
  <c r="D156" i="26"/>
  <c r="C156" i="26"/>
  <c r="E156" i="26" s="1"/>
  <c r="H155" i="26"/>
  <c r="G155" i="26"/>
  <c r="I155" i="26" s="1"/>
  <c r="D155" i="26"/>
  <c r="C155" i="26"/>
  <c r="E155" i="26" s="1"/>
  <c r="H154" i="26"/>
  <c r="G154" i="26"/>
  <c r="I154" i="26" s="1"/>
  <c r="D154" i="26"/>
  <c r="C154" i="26"/>
  <c r="E154" i="26" s="1"/>
  <c r="H153" i="26"/>
  <c r="G153" i="26"/>
  <c r="I153" i="26" s="1"/>
  <c r="D153" i="26"/>
  <c r="C153" i="26"/>
  <c r="E153" i="26" s="1"/>
  <c r="I152" i="26"/>
  <c r="H152" i="26"/>
  <c r="G152" i="26"/>
  <c r="E152" i="26"/>
  <c r="D152" i="26"/>
  <c r="C152" i="26"/>
  <c r="H151" i="26"/>
  <c r="G151" i="26"/>
  <c r="D151" i="26"/>
  <c r="C151" i="26"/>
  <c r="E151" i="26" s="1"/>
  <c r="H150" i="26"/>
  <c r="G150" i="26"/>
  <c r="I150" i="26" s="1"/>
  <c r="D150" i="26"/>
  <c r="C150" i="26"/>
  <c r="E150" i="26" s="1"/>
  <c r="H149" i="26"/>
  <c r="G149" i="26"/>
  <c r="I149" i="26" s="1"/>
  <c r="D149" i="26"/>
  <c r="C149" i="26"/>
  <c r="E149" i="26" s="1"/>
  <c r="I148" i="26"/>
  <c r="H148" i="26"/>
  <c r="G148" i="26"/>
  <c r="D148" i="26"/>
  <c r="C148" i="26"/>
  <c r="E148" i="26" s="1"/>
  <c r="H147" i="26"/>
  <c r="G147" i="26"/>
  <c r="I147" i="26" s="1"/>
  <c r="D147" i="26"/>
  <c r="C147" i="26"/>
  <c r="E147" i="26" s="1"/>
  <c r="H146" i="26"/>
  <c r="G146" i="26"/>
  <c r="I146" i="26" s="1"/>
  <c r="D146" i="26"/>
  <c r="C146" i="26"/>
  <c r="E146" i="26" s="1"/>
  <c r="H145" i="26"/>
  <c r="G145" i="26"/>
  <c r="D145" i="26"/>
  <c r="C145" i="26"/>
  <c r="E145" i="26" s="1"/>
  <c r="K143" i="26"/>
  <c r="H143" i="26"/>
  <c r="G143" i="26"/>
  <c r="I143" i="26" s="1"/>
  <c r="D143" i="26"/>
  <c r="C143" i="26"/>
  <c r="E143" i="26" s="1"/>
  <c r="H142" i="26"/>
  <c r="G142" i="26"/>
  <c r="I142" i="26" s="1"/>
  <c r="D142" i="26"/>
  <c r="C142" i="26"/>
  <c r="E142" i="26" s="1"/>
  <c r="H141" i="26"/>
  <c r="G141" i="26"/>
  <c r="I141" i="26" s="1"/>
  <c r="D141" i="26"/>
  <c r="C141" i="26"/>
  <c r="E141" i="26" s="1"/>
  <c r="H140" i="26"/>
  <c r="G140" i="26"/>
  <c r="I140" i="26" s="1"/>
  <c r="D140" i="26"/>
  <c r="C140" i="26"/>
  <c r="E140" i="26" s="1"/>
  <c r="H139" i="26"/>
  <c r="G139" i="26"/>
  <c r="I139" i="26" s="1"/>
  <c r="D139" i="26"/>
  <c r="C139" i="26"/>
  <c r="E139" i="26" s="1"/>
  <c r="H138" i="26"/>
  <c r="F138" i="26"/>
  <c r="G138" i="26" s="1"/>
  <c r="B138" i="26"/>
  <c r="K140" i="26" s="1"/>
  <c r="K137" i="26"/>
  <c r="F137" i="26" s="1"/>
  <c r="D137" i="26"/>
  <c r="C137" i="26"/>
  <c r="E137" i="26" s="1"/>
  <c r="K136" i="26"/>
  <c r="F136" i="26" s="1"/>
  <c r="D136" i="26"/>
  <c r="C136" i="26"/>
  <c r="E136" i="26" s="1"/>
  <c r="D135" i="26"/>
  <c r="C135" i="26"/>
  <c r="E135" i="26" s="1"/>
  <c r="D134" i="26"/>
  <c r="C134" i="26"/>
  <c r="E134" i="26" s="1"/>
  <c r="D133" i="26"/>
  <c r="C133" i="26"/>
  <c r="E133" i="26" s="1"/>
  <c r="H132" i="26"/>
  <c r="G132" i="26"/>
  <c r="B132" i="26"/>
  <c r="K135" i="26" s="1"/>
  <c r="F135" i="26" s="1"/>
  <c r="I130" i="26"/>
  <c r="H130" i="26"/>
  <c r="G130" i="26"/>
  <c r="D130" i="26"/>
  <c r="C130" i="26"/>
  <c r="E130" i="26" s="1"/>
  <c r="H129" i="26"/>
  <c r="G129" i="26"/>
  <c r="I129" i="26" s="1"/>
  <c r="D129" i="26"/>
  <c r="C129" i="26"/>
  <c r="E129" i="26" s="1"/>
  <c r="H128" i="26"/>
  <c r="G128" i="26"/>
  <c r="I128" i="26" s="1"/>
  <c r="E128" i="26"/>
  <c r="D128" i="26"/>
  <c r="C128" i="26"/>
  <c r="I127" i="26"/>
  <c r="H127" i="26"/>
  <c r="G127" i="26"/>
  <c r="D127" i="26"/>
  <c r="C127" i="26"/>
  <c r="E127" i="26" s="1"/>
  <c r="H126" i="26"/>
  <c r="G126" i="26"/>
  <c r="I126" i="26" s="1"/>
  <c r="D126" i="26"/>
  <c r="C126" i="26"/>
  <c r="E126" i="26" s="1"/>
  <c r="F125" i="26"/>
  <c r="H125" i="26" s="1"/>
  <c r="C125" i="26"/>
  <c r="E125" i="26" s="1"/>
  <c r="B125" i="26"/>
  <c r="K128" i="26" s="1"/>
  <c r="D124" i="26"/>
  <c r="C124" i="26"/>
  <c r="E124" i="26" s="1"/>
  <c r="D123" i="26"/>
  <c r="C123" i="26"/>
  <c r="E123" i="26" s="1"/>
  <c r="D122" i="26"/>
  <c r="C122" i="26"/>
  <c r="E122" i="26" s="1"/>
  <c r="D121" i="26"/>
  <c r="C121" i="26"/>
  <c r="E121" i="26" s="1"/>
  <c r="D120" i="26"/>
  <c r="C120" i="26"/>
  <c r="E120" i="26" s="1"/>
  <c r="H119" i="26"/>
  <c r="G119" i="26"/>
  <c r="B119" i="26"/>
  <c r="H117" i="26"/>
  <c r="G117" i="26"/>
  <c r="I117" i="26" s="1"/>
  <c r="D117" i="26"/>
  <c r="C117" i="26"/>
  <c r="E117" i="26" s="1"/>
  <c r="H116" i="26"/>
  <c r="G116" i="26"/>
  <c r="I116" i="26" s="1"/>
  <c r="D116" i="26"/>
  <c r="C116" i="26"/>
  <c r="E116" i="26" s="1"/>
  <c r="I115" i="26"/>
  <c r="H115" i="26"/>
  <c r="G115" i="26"/>
  <c r="D115" i="26"/>
  <c r="C115" i="26"/>
  <c r="E115" i="26" s="1"/>
  <c r="H114" i="26"/>
  <c r="G114" i="26"/>
  <c r="I114" i="26" s="1"/>
  <c r="D114" i="26"/>
  <c r="C114" i="26"/>
  <c r="E114" i="26" s="1"/>
  <c r="H113" i="26"/>
  <c r="G113" i="26"/>
  <c r="I113" i="26" s="1"/>
  <c r="E113" i="26"/>
  <c r="D113" i="26"/>
  <c r="C113" i="26"/>
  <c r="I112" i="26"/>
  <c r="H112" i="26"/>
  <c r="F112" i="26"/>
  <c r="G112" i="26" s="1"/>
  <c r="B112" i="26"/>
  <c r="K114" i="26" s="1"/>
  <c r="D111" i="26"/>
  <c r="C111" i="26"/>
  <c r="E111" i="26" s="1"/>
  <c r="D110" i="26"/>
  <c r="C110" i="26"/>
  <c r="E110" i="26" s="1"/>
  <c r="D109" i="26"/>
  <c r="C109" i="26"/>
  <c r="E109" i="26" s="1"/>
  <c r="D108" i="26"/>
  <c r="C108" i="26"/>
  <c r="E108" i="26" s="1"/>
  <c r="E107" i="26"/>
  <c r="D107" i="26"/>
  <c r="C107" i="26"/>
  <c r="H106" i="26"/>
  <c r="G106" i="26"/>
  <c r="I106" i="26" s="1"/>
  <c r="B106" i="26"/>
  <c r="K111" i="26" s="1"/>
  <c r="F111" i="26" s="1"/>
  <c r="I104" i="26"/>
  <c r="H104" i="26"/>
  <c r="G104" i="26"/>
  <c r="D104" i="26"/>
  <c r="C104" i="26"/>
  <c r="E104" i="26" s="1"/>
  <c r="H103" i="26"/>
  <c r="G103" i="26"/>
  <c r="I103" i="26" s="1"/>
  <c r="D103" i="26"/>
  <c r="C103" i="26"/>
  <c r="E103" i="26" s="1"/>
  <c r="H102" i="26"/>
  <c r="G102" i="26"/>
  <c r="I102" i="26" s="1"/>
  <c r="E102" i="26"/>
  <c r="D102" i="26"/>
  <c r="C102" i="26"/>
  <c r="I101" i="26"/>
  <c r="H101" i="26"/>
  <c r="G101" i="26"/>
  <c r="D101" i="26"/>
  <c r="C101" i="26"/>
  <c r="E101" i="26" s="1"/>
  <c r="H100" i="26"/>
  <c r="G100" i="26"/>
  <c r="I100" i="26" s="1"/>
  <c r="D100" i="26"/>
  <c r="C100" i="26"/>
  <c r="E100" i="26" s="1"/>
  <c r="F99" i="26"/>
  <c r="B99" i="26"/>
  <c r="K101" i="26" s="1"/>
  <c r="D98" i="26"/>
  <c r="C98" i="26"/>
  <c r="E98" i="26" s="1"/>
  <c r="E97" i="26"/>
  <c r="D97" i="26"/>
  <c r="C97" i="26"/>
  <c r="D96" i="26"/>
  <c r="C96" i="26"/>
  <c r="E96" i="26" s="1"/>
  <c r="K95" i="26"/>
  <c r="F95" i="26" s="1"/>
  <c r="H95" i="26" s="1"/>
  <c r="D95" i="26"/>
  <c r="C95" i="26"/>
  <c r="E95" i="26" s="1"/>
  <c r="D94" i="26"/>
  <c r="C94" i="26"/>
  <c r="E94" i="26" s="1"/>
  <c r="H93" i="26"/>
  <c r="G93" i="26"/>
  <c r="B93" i="26"/>
  <c r="K98" i="26" s="1"/>
  <c r="F98" i="26" s="1"/>
  <c r="H98" i="26" s="1"/>
  <c r="H91" i="26"/>
  <c r="G91" i="26"/>
  <c r="I91" i="26" s="1"/>
  <c r="D91" i="26"/>
  <c r="C91" i="26"/>
  <c r="E91" i="26" s="1"/>
  <c r="I90" i="26"/>
  <c r="H90" i="26"/>
  <c r="G90" i="26"/>
  <c r="D90" i="26"/>
  <c r="C90" i="26"/>
  <c r="E90" i="26" s="1"/>
  <c r="H89" i="26"/>
  <c r="G89" i="26"/>
  <c r="I89" i="26" s="1"/>
  <c r="D89" i="26"/>
  <c r="C89" i="26"/>
  <c r="E89" i="26" s="1"/>
  <c r="H88" i="26"/>
  <c r="G88" i="26"/>
  <c r="I88" i="26" s="1"/>
  <c r="D88" i="26"/>
  <c r="C88" i="26"/>
  <c r="E88" i="26" s="1"/>
  <c r="H87" i="26"/>
  <c r="G87" i="26"/>
  <c r="I87" i="26" s="1"/>
  <c r="D87" i="26"/>
  <c r="C87" i="26"/>
  <c r="E87" i="26" s="1"/>
  <c r="I86" i="26"/>
  <c r="H86" i="26"/>
  <c r="G86" i="26"/>
  <c r="D86" i="26"/>
  <c r="C86" i="26"/>
  <c r="E86" i="26" s="1"/>
  <c r="B86" i="26"/>
  <c r="H85" i="26"/>
  <c r="G85" i="26"/>
  <c r="I85" i="26" s="1"/>
  <c r="D85" i="26"/>
  <c r="C85" i="26"/>
  <c r="E85" i="26" s="1"/>
  <c r="H84" i="26"/>
  <c r="G84" i="26"/>
  <c r="I84" i="26" s="1"/>
  <c r="D84" i="26"/>
  <c r="C84" i="26"/>
  <c r="E84" i="26" s="1"/>
  <c r="H83" i="26"/>
  <c r="G83" i="26"/>
  <c r="I83" i="26" s="1"/>
  <c r="D83" i="26"/>
  <c r="C83" i="26"/>
  <c r="E83" i="26" s="1"/>
  <c r="H82" i="26"/>
  <c r="G82" i="26"/>
  <c r="I82" i="26" s="1"/>
  <c r="E82" i="26"/>
  <c r="D82" i="26"/>
  <c r="C82" i="26"/>
  <c r="H81" i="26"/>
  <c r="G81" i="26"/>
  <c r="I81" i="26" s="1"/>
  <c r="D81" i="26"/>
  <c r="C81" i="26"/>
  <c r="E81" i="26" s="1"/>
  <c r="H80" i="26"/>
  <c r="G80" i="26"/>
  <c r="B80" i="26"/>
  <c r="D80" i="26" s="1"/>
  <c r="H74" i="26"/>
  <c r="G74" i="26"/>
  <c r="I74" i="26" s="1"/>
  <c r="D74" i="26"/>
  <c r="C74" i="26"/>
  <c r="E74" i="26" s="1"/>
  <c r="H73" i="26"/>
  <c r="G73" i="26"/>
  <c r="I73" i="26" s="1"/>
  <c r="D73" i="26"/>
  <c r="C73" i="26"/>
  <c r="E73" i="26" s="1"/>
  <c r="H72" i="26"/>
  <c r="G72" i="26"/>
  <c r="I72" i="26" s="1"/>
  <c r="D72" i="26"/>
  <c r="C72" i="26"/>
  <c r="E72" i="26" s="1"/>
  <c r="H71" i="26"/>
  <c r="G71" i="26"/>
  <c r="I71" i="26" s="1"/>
  <c r="E71" i="26"/>
  <c r="D71" i="26"/>
  <c r="C71" i="26"/>
  <c r="I70" i="26"/>
  <c r="H70" i="26"/>
  <c r="G70" i="26"/>
  <c r="E70" i="26"/>
  <c r="D70" i="26"/>
  <c r="C70" i="26"/>
  <c r="H69" i="26"/>
  <c r="G69" i="26"/>
  <c r="I69" i="26" s="1"/>
  <c r="D69" i="26"/>
  <c r="C69" i="26"/>
  <c r="E69" i="26" s="1"/>
  <c r="K68" i="26"/>
  <c r="K69" i="26" s="1"/>
  <c r="H68" i="26"/>
  <c r="F68" i="26"/>
  <c r="G68" i="26" s="1"/>
  <c r="B68" i="26"/>
  <c r="H67" i="26"/>
  <c r="G67" i="26"/>
  <c r="I67" i="26" s="1"/>
  <c r="D67" i="26"/>
  <c r="C67" i="26"/>
  <c r="E67" i="26" s="1"/>
  <c r="I66" i="26"/>
  <c r="H66" i="26"/>
  <c r="G66" i="26"/>
  <c r="E66" i="26"/>
  <c r="D66" i="26"/>
  <c r="C66" i="26"/>
  <c r="H65" i="26"/>
  <c r="G65" i="26"/>
  <c r="I65" i="26" s="1"/>
  <c r="D65" i="26"/>
  <c r="C65" i="26"/>
  <c r="E65" i="26" s="1"/>
  <c r="H64" i="26"/>
  <c r="G64" i="26"/>
  <c r="I64" i="26" s="1"/>
  <c r="D64" i="26"/>
  <c r="C64" i="26"/>
  <c r="E64" i="26" s="1"/>
  <c r="I63" i="26"/>
  <c r="H63" i="26"/>
  <c r="G63" i="26"/>
  <c r="E17" i="27" s="1"/>
  <c r="G17" i="27" s="1"/>
  <c r="C63" i="26"/>
  <c r="B63" i="26"/>
  <c r="K64" i="26" s="1"/>
  <c r="H61" i="26"/>
  <c r="G61" i="26"/>
  <c r="I61" i="26" s="1"/>
  <c r="D61" i="26"/>
  <c r="C61" i="26"/>
  <c r="E61" i="26" s="1"/>
  <c r="H60" i="26"/>
  <c r="G60" i="26"/>
  <c r="I60" i="26" s="1"/>
  <c r="E60" i="26"/>
  <c r="D60" i="26"/>
  <c r="C60" i="26"/>
  <c r="I59" i="26"/>
  <c r="H59" i="26"/>
  <c r="G59" i="26"/>
  <c r="D59" i="26"/>
  <c r="C59" i="26"/>
  <c r="E59" i="26" s="1"/>
  <c r="H58" i="26"/>
  <c r="G58" i="26"/>
  <c r="I58" i="26" s="1"/>
  <c r="D58" i="26"/>
  <c r="C58" i="26"/>
  <c r="E58" i="26" s="1"/>
  <c r="H57" i="26"/>
  <c r="G57" i="26"/>
  <c r="I57" i="26" s="1"/>
  <c r="D57" i="26"/>
  <c r="C57" i="26"/>
  <c r="E57" i="26" s="1"/>
  <c r="H56" i="26"/>
  <c r="G56" i="26"/>
  <c r="I56" i="26" s="1"/>
  <c r="D56" i="26"/>
  <c r="C56" i="26"/>
  <c r="E56" i="26" s="1"/>
  <c r="E55" i="26" s="1"/>
  <c r="K55" i="26"/>
  <c r="K57" i="26" s="1"/>
  <c r="F55" i="26"/>
  <c r="H55" i="26" s="1"/>
  <c r="B55" i="26"/>
  <c r="K61" i="26" s="1"/>
  <c r="I54" i="26"/>
  <c r="H54" i="26"/>
  <c r="G54" i="26"/>
  <c r="E54" i="26"/>
  <c r="D54" i="26"/>
  <c r="C54" i="26"/>
  <c r="H53" i="26"/>
  <c r="G53" i="26"/>
  <c r="I53" i="26" s="1"/>
  <c r="D53" i="26"/>
  <c r="C53" i="26"/>
  <c r="E53" i="26" s="1"/>
  <c r="H52" i="26"/>
  <c r="G52" i="26"/>
  <c r="I52" i="26" s="1"/>
  <c r="D52" i="26"/>
  <c r="C52" i="26"/>
  <c r="E52" i="26" s="1"/>
  <c r="I51" i="26"/>
  <c r="H51" i="26"/>
  <c r="G51" i="26"/>
  <c r="D51" i="26"/>
  <c r="C51" i="26"/>
  <c r="H50" i="26"/>
  <c r="G50" i="26"/>
  <c r="B50" i="26"/>
  <c r="K51" i="26" s="1"/>
  <c r="H48" i="26"/>
  <c r="G48" i="26"/>
  <c r="I48" i="26" s="1"/>
  <c r="E48" i="26"/>
  <c r="D48" i="26"/>
  <c r="C48" i="26"/>
  <c r="H47" i="26"/>
  <c r="G47" i="26"/>
  <c r="I47" i="26" s="1"/>
  <c r="D47" i="26"/>
  <c r="C47" i="26"/>
  <c r="E47" i="26" s="1"/>
  <c r="H46" i="26"/>
  <c r="G46" i="26"/>
  <c r="I46" i="26" s="1"/>
  <c r="D46" i="26"/>
  <c r="C46" i="26"/>
  <c r="E46" i="26" s="1"/>
  <c r="H45" i="26"/>
  <c r="G45" i="26"/>
  <c r="I45" i="26" s="1"/>
  <c r="D45" i="26"/>
  <c r="C45" i="26"/>
  <c r="E45" i="26" s="1"/>
  <c r="F44" i="26"/>
  <c r="D44" i="26"/>
  <c r="C44" i="26"/>
  <c r="E44" i="26" s="1"/>
  <c r="B43" i="26"/>
  <c r="K45" i="26" s="1"/>
  <c r="H42" i="26"/>
  <c r="G42" i="26"/>
  <c r="I42" i="26" s="1"/>
  <c r="D42" i="26"/>
  <c r="C42" i="26"/>
  <c r="E42" i="26" s="1"/>
  <c r="H41" i="26"/>
  <c r="G41" i="26"/>
  <c r="I41" i="26" s="1"/>
  <c r="E41" i="26"/>
  <c r="D41" i="26"/>
  <c r="C41" i="26"/>
  <c r="H40" i="26"/>
  <c r="G40" i="26"/>
  <c r="I40" i="26" s="1"/>
  <c r="D40" i="26"/>
  <c r="C40" i="26"/>
  <c r="E40" i="26" s="1"/>
  <c r="H39" i="26"/>
  <c r="G39" i="26"/>
  <c r="I39" i="26" s="1"/>
  <c r="F39" i="26"/>
  <c r="D39" i="26"/>
  <c r="C39" i="26"/>
  <c r="E39" i="26" s="1"/>
  <c r="H38" i="26"/>
  <c r="G38" i="26"/>
  <c r="D38" i="26"/>
  <c r="C38" i="26"/>
  <c r="E38" i="26" s="1"/>
  <c r="F37" i="26"/>
  <c r="H37" i="26" s="1"/>
  <c r="B37" i="26"/>
  <c r="K39" i="26" s="1"/>
  <c r="H35" i="26"/>
  <c r="G35" i="26"/>
  <c r="I35" i="26" s="1"/>
  <c r="D35" i="26"/>
  <c r="C35" i="26"/>
  <c r="E35" i="26" s="1"/>
  <c r="I34" i="26"/>
  <c r="H34" i="26"/>
  <c r="G34" i="26"/>
  <c r="E34" i="26"/>
  <c r="D34" i="26"/>
  <c r="C34" i="26"/>
  <c r="H33" i="26"/>
  <c r="G33" i="26"/>
  <c r="I33" i="26" s="1"/>
  <c r="D33" i="26"/>
  <c r="C33" i="26"/>
  <c r="E33" i="26" s="1"/>
  <c r="H32" i="26"/>
  <c r="G32" i="26"/>
  <c r="I32" i="26" s="1"/>
  <c r="D32" i="26"/>
  <c r="C32" i="26"/>
  <c r="E32" i="26" s="1"/>
  <c r="F31" i="26"/>
  <c r="D31" i="26"/>
  <c r="C31" i="26"/>
  <c r="E31" i="26" s="1"/>
  <c r="B30" i="26"/>
  <c r="H29" i="26"/>
  <c r="G29" i="26"/>
  <c r="I29" i="26" s="1"/>
  <c r="E29" i="26"/>
  <c r="D29" i="26"/>
  <c r="C29" i="26"/>
  <c r="H28" i="26"/>
  <c r="G28" i="26"/>
  <c r="I28" i="26" s="1"/>
  <c r="D28" i="26"/>
  <c r="C28" i="26"/>
  <c r="E28" i="26" s="1"/>
  <c r="H27" i="26"/>
  <c r="G27" i="26"/>
  <c r="I27" i="26" s="1"/>
  <c r="D27" i="26"/>
  <c r="C27" i="26"/>
  <c r="E27" i="26" s="1"/>
  <c r="H26" i="26"/>
  <c r="F26" i="26"/>
  <c r="G26" i="26" s="1"/>
  <c r="I26" i="26" s="1"/>
  <c r="D26" i="26"/>
  <c r="C26" i="26"/>
  <c r="E26" i="26" s="1"/>
  <c r="H25" i="26"/>
  <c r="G25" i="26"/>
  <c r="D25" i="26"/>
  <c r="C25" i="26"/>
  <c r="E25" i="26" s="1"/>
  <c r="F24" i="26"/>
  <c r="H24" i="26" s="1"/>
  <c r="B24" i="26"/>
  <c r="K26" i="26" s="1"/>
  <c r="H18" i="26"/>
  <c r="G18" i="26"/>
  <c r="I18" i="26" s="1"/>
  <c r="E18" i="26"/>
  <c r="E17" i="26"/>
  <c r="D17" i="26"/>
  <c r="I16" i="26"/>
  <c r="H16" i="26"/>
  <c r="G16" i="26"/>
  <c r="E16" i="26"/>
  <c r="D16" i="26"/>
  <c r="H15" i="26"/>
  <c r="G15" i="26"/>
  <c r="E15" i="26"/>
  <c r="D15" i="26"/>
  <c r="C15" i="26"/>
  <c r="F14" i="26"/>
  <c r="E14" i="26"/>
  <c r="D14" i="26"/>
  <c r="C14" i="26"/>
  <c r="H13" i="26"/>
  <c r="G13" i="26"/>
  <c r="I13" i="26" s="1"/>
  <c r="F13" i="26"/>
  <c r="D13" i="26"/>
  <c r="C13" i="26"/>
  <c r="E13" i="26" s="1"/>
  <c r="B12" i="26"/>
  <c r="F11" i="26"/>
  <c r="G10" i="26"/>
  <c r="I10" i="26" s="1"/>
  <c r="F10" i="26"/>
  <c r="H10" i="26" s="1"/>
  <c r="D10" i="26"/>
  <c r="C10" i="26"/>
  <c r="E10" i="26" s="1"/>
  <c r="H9" i="26"/>
  <c r="F9" i="26"/>
  <c r="J19" i="26" s="1"/>
  <c r="J20" i="26" s="1"/>
  <c r="D9" i="26"/>
  <c r="C9" i="26"/>
  <c r="E9" i="26" s="1"/>
  <c r="H8" i="26"/>
  <c r="G8" i="26"/>
  <c r="I8" i="26" s="1"/>
  <c r="D8" i="26"/>
  <c r="C8" i="26"/>
  <c r="E8" i="26" s="1"/>
  <c r="H7" i="26"/>
  <c r="G7" i="26"/>
  <c r="I7" i="26" s="1"/>
  <c r="E7" i="26"/>
  <c r="D7" i="26"/>
  <c r="C7" i="26"/>
  <c r="I6" i="26"/>
  <c r="H6" i="26"/>
  <c r="G6" i="26"/>
  <c r="E8" i="27" s="1"/>
  <c r="E6" i="26"/>
  <c r="D6" i="26"/>
  <c r="C6" i="26"/>
  <c r="B5" i="26"/>
  <c r="F9" i="25"/>
  <c r="F11" i="25"/>
  <c r="F9" i="24"/>
  <c r="F11" i="24"/>
  <c r="F17" i="24" s="1"/>
  <c r="H17" i="24" s="1"/>
  <c r="C256" i="25"/>
  <c r="C255" i="25"/>
  <c r="C254" i="25"/>
  <c r="C253" i="25"/>
  <c r="B253" i="25"/>
  <c r="C252" i="25"/>
  <c r="C251" i="25"/>
  <c r="I234" i="25"/>
  <c r="H234" i="25"/>
  <c r="G234" i="25"/>
  <c r="D234" i="25"/>
  <c r="C234" i="25"/>
  <c r="E234" i="25" s="1"/>
  <c r="H233" i="25"/>
  <c r="G233" i="25"/>
  <c r="I233" i="25" s="1"/>
  <c r="D233" i="25"/>
  <c r="C233" i="25"/>
  <c r="E233" i="25" s="1"/>
  <c r="H232" i="25"/>
  <c r="G232" i="25"/>
  <c r="I232" i="25" s="1"/>
  <c r="D232" i="25"/>
  <c r="C232" i="25"/>
  <c r="E232" i="25" s="1"/>
  <c r="H231" i="25"/>
  <c r="G231" i="25"/>
  <c r="I231" i="25" s="1"/>
  <c r="D231" i="25"/>
  <c r="C231" i="25"/>
  <c r="E231" i="25" s="1"/>
  <c r="I230" i="25"/>
  <c r="H230" i="25"/>
  <c r="G230" i="25"/>
  <c r="D230" i="25"/>
  <c r="C230" i="25"/>
  <c r="E230" i="25" s="1"/>
  <c r="H229" i="25"/>
  <c r="G229" i="25"/>
  <c r="I229" i="25" s="1"/>
  <c r="D229" i="25"/>
  <c r="C229" i="25"/>
  <c r="E229" i="25" s="1"/>
  <c r="H228" i="25"/>
  <c r="G228" i="25"/>
  <c r="I228" i="25" s="1"/>
  <c r="D228" i="25"/>
  <c r="C228" i="25"/>
  <c r="E228" i="25" s="1"/>
  <c r="H227" i="25"/>
  <c r="G227" i="25"/>
  <c r="I227" i="25" s="1"/>
  <c r="D227" i="25"/>
  <c r="C227" i="25"/>
  <c r="E227" i="25" s="1"/>
  <c r="I226" i="25"/>
  <c r="H226" i="25"/>
  <c r="G226" i="25"/>
  <c r="D226" i="25"/>
  <c r="C226" i="25"/>
  <c r="E226" i="25" s="1"/>
  <c r="H225" i="25"/>
  <c r="G225" i="25"/>
  <c r="I225" i="25" s="1"/>
  <c r="D225" i="25"/>
  <c r="C225" i="25"/>
  <c r="E225" i="25" s="1"/>
  <c r="H224" i="25"/>
  <c r="G224" i="25"/>
  <c r="I224" i="25" s="1"/>
  <c r="D224" i="25"/>
  <c r="C224" i="25"/>
  <c r="E224" i="25" s="1"/>
  <c r="H223" i="25"/>
  <c r="G223" i="25"/>
  <c r="D223" i="25"/>
  <c r="C223" i="25"/>
  <c r="E223" i="25" s="1"/>
  <c r="I221" i="25"/>
  <c r="H221" i="25"/>
  <c r="G221" i="25"/>
  <c r="D221" i="25"/>
  <c r="C221" i="25"/>
  <c r="E221" i="25" s="1"/>
  <c r="H220" i="25"/>
  <c r="G220" i="25"/>
  <c r="I220" i="25" s="1"/>
  <c r="D220" i="25"/>
  <c r="C220" i="25"/>
  <c r="E220" i="25" s="1"/>
  <c r="H219" i="25"/>
  <c r="G219" i="25"/>
  <c r="I219" i="25" s="1"/>
  <c r="D219" i="25"/>
  <c r="C219" i="25"/>
  <c r="E219" i="25" s="1"/>
  <c r="H218" i="25"/>
  <c r="G218" i="25"/>
  <c r="I218" i="25" s="1"/>
  <c r="D218" i="25"/>
  <c r="C218" i="25"/>
  <c r="E218" i="25" s="1"/>
  <c r="I217" i="25"/>
  <c r="H217" i="25"/>
  <c r="G217" i="25"/>
  <c r="D217" i="25"/>
  <c r="C217" i="25"/>
  <c r="E217" i="25" s="1"/>
  <c r="H216" i="25"/>
  <c r="G216" i="25"/>
  <c r="I216" i="25" s="1"/>
  <c r="D216" i="25"/>
  <c r="C216" i="25"/>
  <c r="E216" i="25" s="1"/>
  <c r="H215" i="25"/>
  <c r="G215" i="25"/>
  <c r="I215" i="25" s="1"/>
  <c r="D215" i="25"/>
  <c r="C215" i="25"/>
  <c r="E215" i="25" s="1"/>
  <c r="H214" i="25"/>
  <c r="G214" i="25"/>
  <c r="I214" i="25" s="1"/>
  <c r="D214" i="25"/>
  <c r="C214" i="25"/>
  <c r="E214" i="25" s="1"/>
  <c r="I213" i="25"/>
  <c r="H213" i="25"/>
  <c r="G213" i="25"/>
  <c r="D213" i="25"/>
  <c r="C213" i="25"/>
  <c r="E213" i="25" s="1"/>
  <c r="H212" i="25"/>
  <c r="G212" i="25"/>
  <c r="I212" i="25" s="1"/>
  <c r="D212" i="25"/>
  <c r="C212" i="25"/>
  <c r="E212" i="25" s="1"/>
  <c r="H211" i="25"/>
  <c r="G211" i="25"/>
  <c r="I211" i="25" s="1"/>
  <c r="D211" i="25"/>
  <c r="C211" i="25"/>
  <c r="E211" i="25" s="1"/>
  <c r="H210" i="25"/>
  <c r="G210" i="25"/>
  <c r="D210" i="25"/>
  <c r="C210" i="25"/>
  <c r="E210" i="25" s="1"/>
  <c r="I208" i="25"/>
  <c r="H208" i="25"/>
  <c r="G208" i="25"/>
  <c r="D208" i="25"/>
  <c r="C208" i="25"/>
  <c r="E208" i="25" s="1"/>
  <c r="H207" i="25"/>
  <c r="G207" i="25"/>
  <c r="I207" i="25" s="1"/>
  <c r="D207" i="25"/>
  <c r="C207" i="25"/>
  <c r="E207" i="25" s="1"/>
  <c r="H206" i="25"/>
  <c r="G206" i="25"/>
  <c r="I206" i="25" s="1"/>
  <c r="D206" i="25"/>
  <c r="C206" i="25"/>
  <c r="E206" i="25" s="1"/>
  <c r="H205" i="25"/>
  <c r="G205" i="25"/>
  <c r="I205" i="25" s="1"/>
  <c r="D205" i="25"/>
  <c r="C205" i="25"/>
  <c r="E205" i="25" s="1"/>
  <c r="I204" i="25"/>
  <c r="H204" i="25"/>
  <c r="G204" i="25"/>
  <c r="D204" i="25"/>
  <c r="C204" i="25"/>
  <c r="E204" i="25" s="1"/>
  <c r="H203" i="25"/>
  <c r="G203" i="25"/>
  <c r="I203" i="25" s="1"/>
  <c r="D203" i="25"/>
  <c r="C203" i="25"/>
  <c r="E203" i="25" s="1"/>
  <c r="H202" i="25"/>
  <c r="G202" i="25"/>
  <c r="D202" i="25"/>
  <c r="C202" i="25"/>
  <c r="E202" i="25" s="1"/>
  <c r="H201" i="25"/>
  <c r="G201" i="25"/>
  <c r="I201" i="25" s="1"/>
  <c r="D201" i="25"/>
  <c r="C201" i="25"/>
  <c r="E201" i="25" s="1"/>
  <c r="I200" i="25"/>
  <c r="H200" i="25"/>
  <c r="G200" i="25"/>
  <c r="D200" i="25"/>
  <c r="C200" i="25"/>
  <c r="E200" i="25" s="1"/>
  <c r="H199" i="25"/>
  <c r="G199" i="25"/>
  <c r="I199" i="25" s="1"/>
  <c r="D199" i="25"/>
  <c r="C199" i="25"/>
  <c r="E199" i="25" s="1"/>
  <c r="H198" i="25"/>
  <c r="G198" i="25"/>
  <c r="I198" i="25" s="1"/>
  <c r="D198" i="25"/>
  <c r="C198" i="25"/>
  <c r="E198" i="25" s="1"/>
  <c r="H197" i="25"/>
  <c r="G197" i="25"/>
  <c r="E197" i="25"/>
  <c r="D197" i="25"/>
  <c r="C197" i="25"/>
  <c r="I195" i="25"/>
  <c r="H195" i="25"/>
  <c r="G195" i="25"/>
  <c r="D195" i="25"/>
  <c r="C195" i="25"/>
  <c r="E195" i="25" s="1"/>
  <c r="H194" i="25"/>
  <c r="G194" i="25"/>
  <c r="I194" i="25" s="1"/>
  <c r="D194" i="25"/>
  <c r="C194" i="25"/>
  <c r="E194" i="25" s="1"/>
  <c r="H193" i="25"/>
  <c r="G193" i="25"/>
  <c r="I193" i="25" s="1"/>
  <c r="D193" i="25"/>
  <c r="C193" i="25"/>
  <c r="E193" i="25" s="1"/>
  <c r="H192" i="25"/>
  <c r="G192" i="25"/>
  <c r="I192" i="25" s="1"/>
  <c r="E192" i="25"/>
  <c r="D192" i="25"/>
  <c r="C192" i="25"/>
  <c r="I191" i="25"/>
  <c r="H191" i="25"/>
  <c r="G191" i="25"/>
  <c r="D191" i="25"/>
  <c r="C191" i="25"/>
  <c r="E191" i="25" s="1"/>
  <c r="H190" i="25"/>
  <c r="G190" i="25"/>
  <c r="I190" i="25" s="1"/>
  <c r="D190" i="25"/>
  <c r="C190" i="25"/>
  <c r="E190" i="25" s="1"/>
  <c r="H189" i="25"/>
  <c r="G189" i="25"/>
  <c r="D189" i="25"/>
  <c r="C189" i="25"/>
  <c r="E189" i="25" s="1"/>
  <c r="H188" i="25"/>
  <c r="G188" i="25"/>
  <c r="I188" i="25" s="1"/>
  <c r="E188" i="25"/>
  <c r="D188" i="25"/>
  <c r="C188" i="25"/>
  <c r="I187" i="25"/>
  <c r="H187" i="25"/>
  <c r="G187" i="25"/>
  <c r="D187" i="25"/>
  <c r="C187" i="25"/>
  <c r="E187" i="25" s="1"/>
  <c r="H186" i="25"/>
  <c r="G186" i="25"/>
  <c r="I186" i="25" s="1"/>
  <c r="D186" i="25"/>
  <c r="C186" i="25"/>
  <c r="E186" i="25" s="1"/>
  <c r="H185" i="25"/>
  <c r="G185" i="25"/>
  <c r="I185" i="25" s="1"/>
  <c r="D185" i="25"/>
  <c r="C185" i="25"/>
  <c r="E185" i="25" s="1"/>
  <c r="H184" i="25"/>
  <c r="G184" i="25"/>
  <c r="E184" i="25"/>
  <c r="D184" i="25"/>
  <c r="C184" i="25"/>
  <c r="I182" i="25"/>
  <c r="H182" i="25"/>
  <c r="G182" i="25"/>
  <c r="D182" i="25"/>
  <c r="C182" i="25"/>
  <c r="E182" i="25" s="1"/>
  <c r="H181" i="25"/>
  <c r="G181" i="25"/>
  <c r="I181" i="25" s="1"/>
  <c r="D181" i="25"/>
  <c r="C181" i="25"/>
  <c r="E181" i="25" s="1"/>
  <c r="H180" i="25"/>
  <c r="G180" i="25"/>
  <c r="I180" i="25" s="1"/>
  <c r="D180" i="25"/>
  <c r="C180" i="25"/>
  <c r="E180" i="25" s="1"/>
  <c r="H179" i="25"/>
  <c r="G179" i="25"/>
  <c r="I179" i="25" s="1"/>
  <c r="E179" i="25"/>
  <c r="D179" i="25"/>
  <c r="C179" i="25"/>
  <c r="I178" i="25"/>
  <c r="H178" i="25"/>
  <c r="G178" i="25"/>
  <c r="D178" i="25"/>
  <c r="C178" i="25"/>
  <c r="E178" i="25" s="1"/>
  <c r="H177" i="25"/>
  <c r="G177" i="25"/>
  <c r="I177" i="25" s="1"/>
  <c r="D177" i="25"/>
  <c r="C177" i="25"/>
  <c r="E177" i="25" s="1"/>
  <c r="H176" i="25"/>
  <c r="G176" i="25"/>
  <c r="D176" i="25"/>
  <c r="C176" i="25"/>
  <c r="E176" i="25" s="1"/>
  <c r="H175" i="25"/>
  <c r="G175" i="25"/>
  <c r="I175" i="25" s="1"/>
  <c r="E175" i="25"/>
  <c r="D175" i="25"/>
  <c r="C175" i="25"/>
  <c r="I174" i="25"/>
  <c r="H174" i="25"/>
  <c r="G174" i="25"/>
  <c r="D174" i="25"/>
  <c r="C174" i="25"/>
  <c r="E174" i="25" s="1"/>
  <c r="H173" i="25"/>
  <c r="G173" i="25"/>
  <c r="I173" i="25" s="1"/>
  <c r="D173" i="25"/>
  <c r="C173" i="25"/>
  <c r="E173" i="25" s="1"/>
  <c r="H172" i="25"/>
  <c r="G172" i="25"/>
  <c r="I172" i="25" s="1"/>
  <c r="D172" i="25"/>
  <c r="C172" i="25"/>
  <c r="E172" i="25" s="1"/>
  <c r="H171" i="25"/>
  <c r="G171" i="25"/>
  <c r="E171" i="25"/>
  <c r="D171" i="25"/>
  <c r="C171" i="25"/>
  <c r="I169" i="25"/>
  <c r="H169" i="25"/>
  <c r="G169" i="25"/>
  <c r="D169" i="25"/>
  <c r="C169" i="25"/>
  <c r="E169" i="25" s="1"/>
  <c r="H168" i="25"/>
  <c r="G168" i="25"/>
  <c r="I168" i="25" s="1"/>
  <c r="D168" i="25"/>
  <c r="C168" i="25"/>
  <c r="E168" i="25" s="1"/>
  <c r="H167" i="25"/>
  <c r="G167" i="25"/>
  <c r="I167" i="25" s="1"/>
  <c r="D167" i="25"/>
  <c r="C167" i="25"/>
  <c r="E167" i="25" s="1"/>
  <c r="H166" i="25"/>
  <c r="G166" i="25"/>
  <c r="I166" i="25" s="1"/>
  <c r="E166" i="25"/>
  <c r="D166" i="25"/>
  <c r="C166" i="25"/>
  <c r="I165" i="25"/>
  <c r="H165" i="25"/>
  <c r="G165" i="25"/>
  <c r="D165" i="25"/>
  <c r="C165" i="25"/>
  <c r="E165" i="25" s="1"/>
  <c r="H164" i="25"/>
  <c r="G164" i="25"/>
  <c r="I164" i="25" s="1"/>
  <c r="D164" i="25"/>
  <c r="C164" i="25"/>
  <c r="E164" i="25" s="1"/>
  <c r="H163" i="25"/>
  <c r="G163" i="25"/>
  <c r="I163" i="25" s="1"/>
  <c r="D163" i="25"/>
  <c r="C163" i="25"/>
  <c r="E163" i="25" s="1"/>
  <c r="H162" i="25"/>
  <c r="G162" i="25"/>
  <c r="I162" i="25" s="1"/>
  <c r="E162" i="25"/>
  <c r="D162" i="25"/>
  <c r="C162" i="25"/>
  <c r="I161" i="25"/>
  <c r="H161" i="25"/>
  <c r="G161" i="25"/>
  <c r="D161" i="25"/>
  <c r="C161" i="25"/>
  <c r="E161" i="25" s="1"/>
  <c r="H160" i="25"/>
  <c r="G160" i="25"/>
  <c r="I160" i="25" s="1"/>
  <c r="D160" i="25"/>
  <c r="C160" i="25"/>
  <c r="E160" i="25" s="1"/>
  <c r="I159" i="25"/>
  <c r="H159" i="25"/>
  <c r="G159" i="25"/>
  <c r="D159" i="25"/>
  <c r="C159" i="25"/>
  <c r="E159" i="25" s="1"/>
  <c r="H158" i="25"/>
  <c r="G158" i="25"/>
  <c r="E158" i="25"/>
  <c r="D158" i="25"/>
  <c r="C158" i="25"/>
  <c r="H156" i="25"/>
  <c r="G156" i="25"/>
  <c r="I156" i="25" s="1"/>
  <c r="D156" i="25"/>
  <c r="C156" i="25"/>
  <c r="E156" i="25" s="1"/>
  <c r="H155" i="25"/>
  <c r="G155" i="25"/>
  <c r="I155" i="25" s="1"/>
  <c r="D155" i="25"/>
  <c r="C155" i="25"/>
  <c r="E155" i="25" s="1"/>
  <c r="I154" i="25"/>
  <c r="H154" i="25"/>
  <c r="G154" i="25"/>
  <c r="D154" i="25"/>
  <c r="C154" i="25"/>
  <c r="E154" i="25" s="1"/>
  <c r="H153" i="25"/>
  <c r="G153" i="25"/>
  <c r="I153" i="25" s="1"/>
  <c r="D153" i="25"/>
  <c r="C153" i="25"/>
  <c r="E153" i="25" s="1"/>
  <c r="H152" i="25"/>
  <c r="G152" i="25"/>
  <c r="I152" i="25" s="1"/>
  <c r="D152" i="25"/>
  <c r="C152" i="25"/>
  <c r="E152" i="25" s="1"/>
  <c r="H151" i="25"/>
  <c r="G151" i="25"/>
  <c r="E151" i="25"/>
  <c r="D151" i="25"/>
  <c r="C151" i="25"/>
  <c r="I150" i="25"/>
  <c r="H150" i="25"/>
  <c r="G150" i="25"/>
  <c r="D150" i="25"/>
  <c r="C150" i="25"/>
  <c r="E150" i="25" s="1"/>
  <c r="H149" i="25"/>
  <c r="G149" i="25"/>
  <c r="I149" i="25" s="1"/>
  <c r="D149" i="25"/>
  <c r="C149" i="25"/>
  <c r="E149" i="25" s="1"/>
  <c r="H148" i="25"/>
  <c r="G148" i="25"/>
  <c r="I148" i="25" s="1"/>
  <c r="D148" i="25"/>
  <c r="C148" i="25"/>
  <c r="E148" i="25" s="1"/>
  <c r="H147" i="25"/>
  <c r="G147" i="25"/>
  <c r="I147" i="25" s="1"/>
  <c r="E147" i="25"/>
  <c r="D147" i="25"/>
  <c r="C147" i="25"/>
  <c r="I146" i="25"/>
  <c r="H146" i="25"/>
  <c r="G146" i="25"/>
  <c r="D146" i="25"/>
  <c r="C146" i="25"/>
  <c r="E146" i="25" s="1"/>
  <c r="H145" i="25"/>
  <c r="G145" i="25"/>
  <c r="D145" i="25"/>
  <c r="C145" i="25"/>
  <c r="E145" i="25" s="1"/>
  <c r="H143" i="25"/>
  <c r="G143" i="25"/>
  <c r="I143" i="25" s="1"/>
  <c r="D143" i="25"/>
  <c r="C143" i="25"/>
  <c r="E143" i="25" s="1"/>
  <c r="I142" i="25"/>
  <c r="H142" i="25"/>
  <c r="G142" i="25"/>
  <c r="D142" i="25"/>
  <c r="C142" i="25"/>
  <c r="E142" i="25" s="1"/>
  <c r="H141" i="25"/>
  <c r="G141" i="25"/>
  <c r="I141" i="25" s="1"/>
  <c r="D141" i="25"/>
  <c r="C141" i="25"/>
  <c r="E141" i="25" s="1"/>
  <c r="H140" i="25"/>
  <c r="G140" i="25"/>
  <c r="I140" i="25" s="1"/>
  <c r="E140" i="25"/>
  <c r="D140" i="25"/>
  <c r="C140" i="25"/>
  <c r="I139" i="25"/>
  <c r="H139" i="25"/>
  <c r="G139" i="25"/>
  <c r="D139" i="25"/>
  <c r="C139" i="25"/>
  <c r="E139" i="25" s="1"/>
  <c r="F138" i="25"/>
  <c r="G138" i="25" s="1"/>
  <c r="B138" i="25"/>
  <c r="K140" i="25" s="1"/>
  <c r="D137" i="25"/>
  <c r="C137" i="25"/>
  <c r="E137" i="25" s="1"/>
  <c r="E136" i="25"/>
  <c r="D136" i="25"/>
  <c r="C136" i="25"/>
  <c r="E135" i="25"/>
  <c r="D135" i="25"/>
  <c r="C135" i="25"/>
  <c r="D134" i="25"/>
  <c r="C134" i="25"/>
  <c r="E134" i="25" s="1"/>
  <c r="D133" i="25"/>
  <c r="C133" i="25"/>
  <c r="E133" i="25" s="1"/>
  <c r="H132" i="25"/>
  <c r="G132" i="25"/>
  <c r="B132" i="25"/>
  <c r="K137" i="25" s="1"/>
  <c r="F137" i="25" s="1"/>
  <c r="H130" i="25"/>
  <c r="G130" i="25"/>
  <c r="I130" i="25" s="1"/>
  <c r="D130" i="25"/>
  <c r="C130" i="25"/>
  <c r="E130" i="25" s="1"/>
  <c r="H129" i="25"/>
  <c r="G129" i="25"/>
  <c r="I129" i="25" s="1"/>
  <c r="D129" i="25"/>
  <c r="C129" i="25"/>
  <c r="E129" i="25" s="1"/>
  <c r="H128" i="25"/>
  <c r="G128" i="25"/>
  <c r="I128" i="25" s="1"/>
  <c r="E128" i="25"/>
  <c r="D128" i="25"/>
  <c r="C128" i="25"/>
  <c r="I127" i="25"/>
  <c r="H127" i="25"/>
  <c r="G127" i="25"/>
  <c r="D127" i="25"/>
  <c r="C127" i="25"/>
  <c r="E127" i="25" s="1"/>
  <c r="H126" i="25"/>
  <c r="G126" i="25"/>
  <c r="I126" i="25" s="1"/>
  <c r="D126" i="25"/>
  <c r="C126" i="25"/>
  <c r="E126" i="25" s="1"/>
  <c r="F125" i="25"/>
  <c r="B125" i="25"/>
  <c r="D124" i="25"/>
  <c r="C124" i="25"/>
  <c r="E124" i="25" s="1"/>
  <c r="D123" i="25"/>
  <c r="C123" i="25"/>
  <c r="E123" i="25" s="1"/>
  <c r="D122" i="25"/>
  <c r="C122" i="25"/>
  <c r="E122" i="25" s="1"/>
  <c r="D121" i="25"/>
  <c r="C121" i="25"/>
  <c r="E121" i="25" s="1"/>
  <c r="D120" i="25"/>
  <c r="C120" i="25"/>
  <c r="E120" i="25" s="1"/>
  <c r="I119" i="25"/>
  <c r="H119" i="25"/>
  <c r="G119" i="25"/>
  <c r="B119" i="25"/>
  <c r="K124" i="25" s="1"/>
  <c r="F124" i="25" s="1"/>
  <c r="H124" i="25" s="1"/>
  <c r="K117" i="25"/>
  <c r="H117" i="25"/>
  <c r="G117" i="25"/>
  <c r="I117" i="25" s="1"/>
  <c r="E117" i="25"/>
  <c r="D117" i="25"/>
  <c r="C117" i="25"/>
  <c r="I116" i="25"/>
  <c r="H116" i="25"/>
  <c r="G116" i="25"/>
  <c r="D116" i="25"/>
  <c r="C116" i="25"/>
  <c r="E116" i="25" s="1"/>
  <c r="H115" i="25"/>
  <c r="G115" i="25"/>
  <c r="I115" i="25" s="1"/>
  <c r="D115" i="25"/>
  <c r="C115" i="25"/>
  <c r="E115" i="25" s="1"/>
  <c r="K114" i="25"/>
  <c r="H114" i="25"/>
  <c r="G114" i="25"/>
  <c r="I114" i="25" s="1"/>
  <c r="E114" i="25"/>
  <c r="D114" i="25"/>
  <c r="C114" i="25"/>
  <c r="I113" i="25"/>
  <c r="H113" i="25"/>
  <c r="G113" i="25"/>
  <c r="D113" i="25"/>
  <c r="C113" i="25"/>
  <c r="E113" i="25" s="1"/>
  <c r="F112" i="25"/>
  <c r="H112" i="25" s="1"/>
  <c r="D112" i="25"/>
  <c r="B112" i="25"/>
  <c r="K115" i="25" s="1"/>
  <c r="E111" i="25"/>
  <c r="D111" i="25"/>
  <c r="C111" i="25"/>
  <c r="D110" i="25"/>
  <c r="C110" i="25"/>
  <c r="E110" i="25" s="1"/>
  <c r="D109" i="25"/>
  <c r="C109" i="25"/>
  <c r="E109" i="25" s="1"/>
  <c r="E108" i="25"/>
  <c r="D108" i="25"/>
  <c r="C108" i="25"/>
  <c r="D107" i="25"/>
  <c r="C107" i="25"/>
  <c r="E107" i="25" s="1"/>
  <c r="H106" i="25"/>
  <c r="G106" i="25"/>
  <c r="B106" i="25"/>
  <c r="D106" i="25" s="1"/>
  <c r="K104" i="25"/>
  <c r="H104" i="25"/>
  <c r="G104" i="25"/>
  <c r="I104" i="25" s="1"/>
  <c r="E104" i="25"/>
  <c r="D104" i="25"/>
  <c r="C104" i="25"/>
  <c r="I103" i="25"/>
  <c r="H103" i="25"/>
  <c r="G103" i="25"/>
  <c r="D103" i="25"/>
  <c r="C103" i="25"/>
  <c r="E103" i="25" s="1"/>
  <c r="H102" i="25"/>
  <c r="G102" i="25"/>
  <c r="I102" i="25" s="1"/>
  <c r="D102" i="25"/>
  <c r="C102" i="25"/>
  <c r="E102" i="25" s="1"/>
  <c r="H101" i="25"/>
  <c r="G101" i="25"/>
  <c r="I101" i="25" s="1"/>
  <c r="D101" i="25"/>
  <c r="C101" i="25"/>
  <c r="E101" i="25" s="1"/>
  <c r="H100" i="25"/>
  <c r="G100" i="25"/>
  <c r="I100" i="25" s="1"/>
  <c r="D100" i="25"/>
  <c r="C100" i="25"/>
  <c r="E100" i="25" s="1"/>
  <c r="H99" i="25"/>
  <c r="F99" i="25"/>
  <c r="G99" i="25" s="1"/>
  <c r="B99" i="25"/>
  <c r="K101" i="25" s="1"/>
  <c r="E98" i="25"/>
  <c r="D98" i="25"/>
  <c r="C98" i="25"/>
  <c r="E97" i="25"/>
  <c r="D97" i="25"/>
  <c r="C97" i="25"/>
  <c r="D96" i="25"/>
  <c r="C96" i="25"/>
  <c r="E96" i="25" s="1"/>
  <c r="D95" i="25"/>
  <c r="C95" i="25"/>
  <c r="E95" i="25" s="1"/>
  <c r="E94" i="25"/>
  <c r="D94" i="25"/>
  <c r="C94" i="25"/>
  <c r="H93" i="25"/>
  <c r="G93" i="25"/>
  <c r="B93" i="25"/>
  <c r="K98" i="25" s="1"/>
  <c r="F98" i="25" s="1"/>
  <c r="H91" i="25"/>
  <c r="G91" i="25"/>
  <c r="I91" i="25" s="1"/>
  <c r="D91" i="25"/>
  <c r="C91" i="25"/>
  <c r="E91" i="25" s="1"/>
  <c r="I90" i="25"/>
  <c r="H90" i="25"/>
  <c r="G90" i="25"/>
  <c r="D90" i="25"/>
  <c r="C90" i="25"/>
  <c r="E90" i="25" s="1"/>
  <c r="H89" i="25"/>
  <c r="G89" i="25"/>
  <c r="I89" i="25" s="1"/>
  <c r="E89" i="25"/>
  <c r="D89" i="25"/>
  <c r="C89" i="25"/>
  <c r="H88" i="25"/>
  <c r="G88" i="25"/>
  <c r="I88" i="25" s="1"/>
  <c r="D88" i="25"/>
  <c r="C88" i="25"/>
  <c r="E88" i="25" s="1"/>
  <c r="H87" i="25"/>
  <c r="G87" i="25"/>
  <c r="I87" i="25" s="1"/>
  <c r="D87" i="25"/>
  <c r="C87" i="25"/>
  <c r="E87" i="25" s="1"/>
  <c r="I86" i="25"/>
  <c r="H86" i="25"/>
  <c r="G86" i="25"/>
  <c r="B86" i="25"/>
  <c r="C86" i="25" s="1"/>
  <c r="E86" i="25" s="1"/>
  <c r="H85" i="25"/>
  <c r="G85" i="25"/>
  <c r="I85" i="25" s="1"/>
  <c r="D85" i="25"/>
  <c r="C85" i="25"/>
  <c r="E85" i="25" s="1"/>
  <c r="H84" i="25"/>
  <c r="G84" i="25"/>
  <c r="I84" i="25" s="1"/>
  <c r="E84" i="25"/>
  <c r="D84" i="25"/>
  <c r="C84" i="25"/>
  <c r="H83" i="25"/>
  <c r="G83" i="25"/>
  <c r="I83" i="25" s="1"/>
  <c r="D83" i="25"/>
  <c r="C83" i="25"/>
  <c r="E83" i="25" s="1"/>
  <c r="I82" i="25"/>
  <c r="H82" i="25"/>
  <c r="G82" i="25"/>
  <c r="D82" i="25"/>
  <c r="C82" i="25"/>
  <c r="E82" i="25" s="1"/>
  <c r="H81" i="25"/>
  <c r="G81" i="25"/>
  <c r="I81" i="25" s="1"/>
  <c r="D81" i="25"/>
  <c r="C81" i="25"/>
  <c r="E81" i="25" s="1"/>
  <c r="H80" i="25"/>
  <c r="G80" i="25"/>
  <c r="B80" i="25"/>
  <c r="D80" i="25" s="1"/>
  <c r="K74" i="25"/>
  <c r="H74" i="25"/>
  <c r="G74" i="25"/>
  <c r="I74" i="25" s="1"/>
  <c r="E74" i="25"/>
  <c r="D74" i="25"/>
  <c r="C74" i="25"/>
  <c r="H73" i="25"/>
  <c r="G73" i="25"/>
  <c r="I73" i="25" s="1"/>
  <c r="D73" i="25"/>
  <c r="C73" i="25"/>
  <c r="E73" i="25" s="1"/>
  <c r="H72" i="25"/>
  <c r="G72" i="25"/>
  <c r="I72" i="25" s="1"/>
  <c r="D72" i="25"/>
  <c r="C72" i="25"/>
  <c r="E72" i="25" s="1"/>
  <c r="K71" i="25"/>
  <c r="H71" i="25"/>
  <c r="G71" i="25"/>
  <c r="I71" i="25" s="1"/>
  <c r="E71" i="25"/>
  <c r="D71" i="25"/>
  <c r="C71" i="25"/>
  <c r="I70" i="25"/>
  <c r="H70" i="25"/>
  <c r="G70" i="25"/>
  <c r="D70" i="25"/>
  <c r="C70" i="25"/>
  <c r="E70" i="25" s="1"/>
  <c r="K69" i="25"/>
  <c r="H69" i="25"/>
  <c r="G69" i="25"/>
  <c r="I69" i="25" s="1"/>
  <c r="D69" i="25"/>
  <c r="C69" i="25"/>
  <c r="E69" i="25" s="1"/>
  <c r="K68" i="25"/>
  <c r="K70" i="25" s="1"/>
  <c r="F68" i="25"/>
  <c r="H68" i="25" s="1"/>
  <c r="B68" i="25"/>
  <c r="K72" i="25" s="1"/>
  <c r="H67" i="25"/>
  <c r="G67" i="25"/>
  <c r="I67" i="25" s="1"/>
  <c r="E67" i="25"/>
  <c r="D67" i="25"/>
  <c r="C67" i="25"/>
  <c r="I66" i="25"/>
  <c r="H66" i="25"/>
  <c r="G66" i="25"/>
  <c r="D66" i="25"/>
  <c r="C66" i="25"/>
  <c r="E66" i="25" s="1"/>
  <c r="H65" i="25"/>
  <c r="G65" i="25"/>
  <c r="I65" i="25" s="1"/>
  <c r="D65" i="25"/>
  <c r="C65" i="25"/>
  <c r="E65" i="25" s="1"/>
  <c r="H64" i="25"/>
  <c r="G64" i="25"/>
  <c r="I64" i="25" s="1"/>
  <c r="D64" i="25"/>
  <c r="C64" i="25"/>
  <c r="E64" i="25" s="1"/>
  <c r="E63" i="25" s="1"/>
  <c r="H63" i="25"/>
  <c r="G63" i="25"/>
  <c r="B63" i="25"/>
  <c r="K64" i="25" s="1"/>
  <c r="K61" i="25"/>
  <c r="H61" i="25"/>
  <c r="G61" i="25"/>
  <c r="I61" i="25" s="1"/>
  <c r="D61" i="25"/>
  <c r="C61" i="25"/>
  <c r="E61" i="25" s="1"/>
  <c r="H60" i="25"/>
  <c r="G60" i="25"/>
  <c r="I60" i="25" s="1"/>
  <c r="E60" i="25"/>
  <c r="D60" i="25"/>
  <c r="C60" i="25"/>
  <c r="I59" i="25"/>
  <c r="H59" i="25"/>
  <c r="G59" i="25"/>
  <c r="D59" i="25"/>
  <c r="C59" i="25"/>
  <c r="E59" i="25" s="1"/>
  <c r="K58" i="25"/>
  <c r="H58" i="25"/>
  <c r="G58" i="25"/>
  <c r="I58" i="25" s="1"/>
  <c r="D58" i="25"/>
  <c r="C58" i="25"/>
  <c r="E58" i="25" s="1"/>
  <c r="H57" i="25"/>
  <c r="G57" i="25"/>
  <c r="I57" i="25" s="1"/>
  <c r="E57" i="25"/>
  <c r="D57" i="25"/>
  <c r="D55" i="25" s="1"/>
  <c r="C57" i="25"/>
  <c r="I56" i="25"/>
  <c r="H56" i="25"/>
  <c r="G56" i="25"/>
  <c r="D56" i="25"/>
  <c r="C56" i="25"/>
  <c r="E56" i="25" s="1"/>
  <c r="K55" i="25"/>
  <c r="K57" i="25" s="1"/>
  <c r="H55" i="25"/>
  <c r="G55" i="25"/>
  <c r="F55" i="25"/>
  <c r="B55" i="25"/>
  <c r="K59" i="25" s="1"/>
  <c r="I54" i="25"/>
  <c r="H54" i="25"/>
  <c r="G54" i="25"/>
  <c r="D54" i="25"/>
  <c r="C54" i="25"/>
  <c r="E54" i="25" s="1"/>
  <c r="H53" i="25"/>
  <c r="G53" i="25"/>
  <c r="I53" i="25" s="1"/>
  <c r="D53" i="25"/>
  <c r="C53" i="25"/>
  <c r="E53" i="25" s="1"/>
  <c r="H52" i="25"/>
  <c r="G52" i="25"/>
  <c r="I52" i="25" s="1"/>
  <c r="D52" i="25"/>
  <c r="D50" i="25" s="1"/>
  <c r="C52" i="25"/>
  <c r="E52" i="25" s="1"/>
  <c r="H51" i="25"/>
  <c r="G51" i="25"/>
  <c r="I51" i="25" s="1"/>
  <c r="D51" i="25"/>
  <c r="C51" i="25"/>
  <c r="E51" i="25" s="1"/>
  <c r="I50" i="25"/>
  <c r="H50" i="25"/>
  <c r="G50" i="25"/>
  <c r="E15" i="23" s="1"/>
  <c r="B50" i="25"/>
  <c r="K51" i="25" s="1"/>
  <c r="K48" i="25"/>
  <c r="I48" i="25"/>
  <c r="H48" i="25"/>
  <c r="G48" i="25"/>
  <c r="E48" i="25"/>
  <c r="D48" i="25"/>
  <c r="C48" i="25"/>
  <c r="H47" i="25"/>
  <c r="G47" i="25"/>
  <c r="I47" i="25" s="1"/>
  <c r="D47" i="25"/>
  <c r="C47" i="25"/>
  <c r="E47" i="25" s="1"/>
  <c r="K46" i="25"/>
  <c r="H46" i="25"/>
  <c r="G46" i="25"/>
  <c r="I46" i="25" s="1"/>
  <c r="D46" i="25"/>
  <c r="C46" i="25"/>
  <c r="E46" i="25" s="1"/>
  <c r="H45" i="25"/>
  <c r="G45" i="25"/>
  <c r="I45" i="25" s="1"/>
  <c r="D45" i="25"/>
  <c r="C45" i="25"/>
  <c r="E45" i="25" s="1"/>
  <c r="F44" i="25"/>
  <c r="H44" i="25" s="1"/>
  <c r="E44" i="25"/>
  <c r="D44" i="25"/>
  <c r="C44" i="25"/>
  <c r="D43" i="25"/>
  <c r="C43" i="25"/>
  <c r="E43" i="25" s="1"/>
  <c r="B43" i="25"/>
  <c r="K45" i="25" s="1"/>
  <c r="I42" i="25"/>
  <c r="H42" i="25"/>
  <c r="G42" i="25"/>
  <c r="D42" i="25"/>
  <c r="C42" i="25"/>
  <c r="E42" i="25" s="1"/>
  <c r="H41" i="25"/>
  <c r="G41" i="25"/>
  <c r="I41" i="25" s="1"/>
  <c r="D41" i="25"/>
  <c r="C41" i="25"/>
  <c r="E41" i="25" s="1"/>
  <c r="H40" i="25"/>
  <c r="G40" i="25"/>
  <c r="I40" i="25" s="1"/>
  <c r="D40" i="25"/>
  <c r="C40" i="25"/>
  <c r="E40" i="25" s="1"/>
  <c r="F39" i="25"/>
  <c r="D39" i="25"/>
  <c r="C39" i="25"/>
  <c r="E39" i="25" s="1"/>
  <c r="H38" i="25"/>
  <c r="G38" i="25"/>
  <c r="D38" i="25"/>
  <c r="C38" i="25"/>
  <c r="E38" i="25" s="1"/>
  <c r="B37" i="25"/>
  <c r="K39" i="25" s="1"/>
  <c r="K35" i="25"/>
  <c r="H35" i="25"/>
  <c r="G35" i="25"/>
  <c r="I35" i="25" s="1"/>
  <c r="E35" i="25"/>
  <c r="D35" i="25"/>
  <c r="C35" i="25"/>
  <c r="I34" i="25"/>
  <c r="H34" i="25"/>
  <c r="G34" i="25"/>
  <c r="D34" i="25"/>
  <c r="C34" i="25"/>
  <c r="E34" i="25" s="1"/>
  <c r="K33" i="25"/>
  <c r="H33" i="25"/>
  <c r="G33" i="25"/>
  <c r="I33" i="25" s="1"/>
  <c r="D33" i="25"/>
  <c r="C33" i="25"/>
  <c r="E33" i="25" s="1"/>
  <c r="H32" i="25"/>
  <c r="G32" i="25"/>
  <c r="I32" i="25" s="1"/>
  <c r="E32" i="25"/>
  <c r="D32" i="25"/>
  <c r="C32" i="25"/>
  <c r="F31" i="25"/>
  <c r="H31" i="25" s="1"/>
  <c r="E31" i="25"/>
  <c r="D31" i="25"/>
  <c r="C31" i="25"/>
  <c r="D30" i="25"/>
  <c r="B30" i="25"/>
  <c r="K32" i="25" s="1"/>
  <c r="I29" i="25"/>
  <c r="H29" i="25"/>
  <c r="G29" i="25"/>
  <c r="E29" i="25"/>
  <c r="D29" i="25"/>
  <c r="C29" i="25"/>
  <c r="H28" i="25"/>
  <c r="G28" i="25"/>
  <c r="I28" i="25" s="1"/>
  <c r="D28" i="25"/>
  <c r="C28" i="25"/>
  <c r="E28" i="25" s="1"/>
  <c r="H27" i="25"/>
  <c r="G27" i="25"/>
  <c r="I27" i="25" s="1"/>
  <c r="D27" i="25"/>
  <c r="C27" i="25"/>
  <c r="E27" i="25" s="1"/>
  <c r="G26" i="25"/>
  <c r="I26" i="25" s="1"/>
  <c r="F26" i="25"/>
  <c r="H26" i="25" s="1"/>
  <c r="D26" i="25"/>
  <c r="C26" i="25"/>
  <c r="E26" i="25" s="1"/>
  <c r="H25" i="25"/>
  <c r="G25" i="25"/>
  <c r="D25" i="25"/>
  <c r="C25" i="25"/>
  <c r="E25" i="25" s="1"/>
  <c r="F24" i="25"/>
  <c r="B24" i="25"/>
  <c r="K26" i="25" s="1"/>
  <c r="H18" i="25"/>
  <c r="G18" i="25"/>
  <c r="I18" i="25" s="1"/>
  <c r="E18" i="25"/>
  <c r="E17" i="25"/>
  <c r="D17" i="25"/>
  <c r="H16" i="25"/>
  <c r="G16" i="25"/>
  <c r="I16" i="25" s="1"/>
  <c r="E16" i="25"/>
  <c r="D16" i="25"/>
  <c r="H15" i="25"/>
  <c r="G15" i="25"/>
  <c r="D15" i="25"/>
  <c r="C15" i="25"/>
  <c r="E15" i="25" s="1"/>
  <c r="H14" i="25"/>
  <c r="F14" i="25"/>
  <c r="G14" i="25" s="1"/>
  <c r="I14" i="25" s="1"/>
  <c r="D14" i="25"/>
  <c r="C14" i="25"/>
  <c r="E14" i="25" s="1"/>
  <c r="G13" i="25"/>
  <c r="I13" i="25" s="1"/>
  <c r="F13" i="25"/>
  <c r="H13" i="25" s="1"/>
  <c r="D13" i="25"/>
  <c r="C13" i="25"/>
  <c r="E13" i="25" s="1"/>
  <c r="B12" i="25"/>
  <c r="D12" i="25" s="1"/>
  <c r="F17" i="25"/>
  <c r="F10" i="25"/>
  <c r="J19" i="25" s="1"/>
  <c r="J20" i="25" s="1"/>
  <c r="D10" i="25"/>
  <c r="C10" i="25"/>
  <c r="E10" i="25" s="1"/>
  <c r="H9" i="25"/>
  <c r="G9" i="25"/>
  <c r="I9" i="25" s="1"/>
  <c r="E9" i="25"/>
  <c r="D9" i="25"/>
  <c r="C9" i="25"/>
  <c r="I8" i="25"/>
  <c r="H8" i="25"/>
  <c r="G8" i="25"/>
  <c r="D8" i="25"/>
  <c r="C8" i="25"/>
  <c r="E8" i="25" s="1"/>
  <c r="H7" i="25"/>
  <c r="G7" i="25"/>
  <c r="I7" i="25" s="1"/>
  <c r="D7" i="25"/>
  <c r="C7" i="25"/>
  <c r="E7" i="25" s="1"/>
  <c r="H6" i="25"/>
  <c r="G6" i="25"/>
  <c r="D6" i="25"/>
  <c r="C6" i="25"/>
  <c r="E6" i="25" s="1"/>
  <c r="B5" i="25"/>
  <c r="K10" i="25" s="1"/>
  <c r="C256" i="24"/>
  <c r="C255" i="24"/>
  <c r="C254" i="24"/>
  <c r="B253" i="24"/>
  <c r="C253" i="24" s="1"/>
  <c r="C252" i="24"/>
  <c r="C251" i="24"/>
  <c r="H234" i="24"/>
  <c r="G234" i="24"/>
  <c r="I234" i="24" s="1"/>
  <c r="D234" i="24"/>
  <c r="C234" i="24"/>
  <c r="E234" i="24" s="1"/>
  <c r="H233" i="24"/>
  <c r="G233" i="24"/>
  <c r="I233" i="24" s="1"/>
  <c r="D233" i="24"/>
  <c r="C233" i="24"/>
  <c r="E233" i="24" s="1"/>
  <c r="H232" i="24"/>
  <c r="G232" i="24"/>
  <c r="I232" i="24" s="1"/>
  <c r="D232" i="24"/>
  <c r="C232" i="24"/>
  <c r="E232" i="24" s="1"/>
  <c r="H231" i="24"/>
  <c r="G231" i="24"/>
  <c r="I231" i="24" s="1"/>
  <c r="D231" i="24"/>
  <c r="C231" i="24"/>
  <c r="E231" i="24" s="1"/>
  <c r="H230" i="24"/>
  <c r="G230" i="24"/>
  <c r="I230" i="24" s="1"/>
  <c r="D230" i="24"/>
  <c r="C230" i="24"/>
  <c r="E230" i="24" s="1"/>
  <c r="H229" i="24"/>
  <c r="G229" i="24"/>
  <c r="I229" i="24" s="1"/>
  <c r="D229" i="24"/>
  <c r="C229" i="24"/>
  <c r="E229" i="24" s="1"/>
  <c r="I228" i="24"/>
  <c r="H228" i="24"/>
  <c r="G228" i="24"/>
  <c r="D228" i="24"/>
  <c r="C228" i="24"/>
  <c r="E228" i="24" s="1"/>
  <c r="H227" i="24"/>
  <c r="G227" i="24"/>
  <c r="I227" i="24" s="1"/>
  <c r="E227" i="24"/>
  <c r="D227" i="24"/>
  <c r="C227" i="24"/>
  <c r="H226" i="24"/>
  <c r="G226" i="24"/>
  <c r="I226" i="24" s="1"/>
  <c r="D226" i="24"/>
  <c r="C226" i="24"/>
  <c r="E226" i="24" s="1"/>
  <c r="H225" i="24"/>
  <c r="G225" i="24"/>
  <c r="I225" i="24" s="1"/>
  <c r="D225" i="24"/>
  <c r="C225" i="24"/>
  <c r="E225" i="24" s="1"/>
  <c r="H224" i="24"/>
  <c r="G224" i="24"/>
  <c r="I224" i="24" s="1"/>
  <c r="D224" i="24"/>
  <c r="C224" i="24"/>
  <c r="E224" i="24" s="1"/>
  <c r="H223" i="24"/>
  <c r="G223" i="24"/>
  <c r="D223" i="24"/>
  <c r="C223" i="24"/>
  <c r="E223" i="24" s="1"/>
  <c r="H221" i="24"/>
  <c r="G221" i="24"/>
  <c r="I221" i="24" s="1"/>
  <c r="D221" i="24"/>
  <c r="C221" i="24"/>
  <c r="E221" i="24" s="1"/>
  <c r="H220" i="24"/>
  <c r="G220" i="24"/>
  <c r="I220" i="24" s="1"/>
  <c r="D220" i="24"/>
  <c r="C220" i="24"/>
  <c r="E220" i="24" s="1"/>
  <c r="I219" i="24"/>
  <c r="H219" i="24"/>
  <c r="G219" i="24"/>
  <c r="D219" i="24"/>
  <c r="C219" i="24"/>
  <c r="E219" i="24" s="1"/>
  <c r="H218" i="24"/>
  <c r="G218" i="24"/>
  <c r="I218" i="24" s="1"/>
  <c r="E218" i="24"/>
  <c r="D218" i="24"/>
  <c r="C218" i="24"/>
  <c r="H217" i="24"/>
  <c r="G217" i="24"/>
  <c r="I217" i="24" s="1"/>
  <c r="D217" i="24"/>
  <c r="C217" i="24"/>
  <c r="E217" i="24" s="1"/>
  <c r="H216" i="24"/>
  <c r="G216" i="24"/>
  <c r="I216" i="24" s="1"/>
  <c r="D216" i="24"/>
  <c r="C216" i="24"/>
  <c r="E216" i="24" s="1"/>
  <c r="H215" i="24"/>
  <c r="G215" i="24"/>
  <c r="I215" i="24" s="1"/>
  <c r="D215" i="24"/>
  <c r="C215" i="24"/>
  <c r="E215" i="24" s="1"/>
  <c r="H214" i="24"/>
  <c r="G214" i="24"/>
  <c r="I214" i="24" s="1"/>
  <c r="D214" i="24"/>
  <c r="C214" i="24"/>
  <c r="E214" i="24" s="1"/>
  <c r="H213" i="24"/>
  <c r="G213" i="24"/>
  <c r="I213" i="24" s="1"/>
  <c r="D213" i="24"/>
  <c r="C213" i="24"/>
  <c r="E213" i="24" s="1"/>
  <c r="H212" i="24"/>
  <c r="G212" i="24"/>
  <c r="I212" i="24" s="1"/>
  <c r="D212" i="24"/>
  <c r="C212" i="24"/>
  <c r="E212" i="24" s="1"/>
  <c r="I211" i="24"/>
  <c r="H211" i="24"/>
  <c r="G211" i="24"/>
  <c r="D211" i="24"/>
  <c r="C211" i="24"/>
  <c r="E211" i="24" s="1"/>
  <c r="H210" i="24"/>
  <c r="G210" i="24"/>
  <c r="E210" i="24"/>
  <c r="D210" i="24"/>
  <c r="C210" i="24"/>
  <c r="H208" i="24"/>
  <c r="G208" i="24"/>
  <c r="I208" i="24" s="1"/>
  <c r="D208" i="24"/>
  <c r="C208" i="24"/>
  <c r="E208" i="24" s="1"/>
  <c r="H207" i="24"/>
  <c r="G207" i="24"/>
  <c r="I207" i="24" s="1"/>
  <c r="D207" i="24"/>
  <c r="C207" i="24"/>
  <c r="E207" i="24" s="1"/>
  <c r="H206" i="24"/>
  <c r="G206" i="24"/>
  <c r="I206" i="24" s="1"/>
  <c r="D206" i="24"/>
  <c r="C206" i="24"/>
  <c r="E206" i="24" s="1"/>
  <c r="H205" i="24"/>
  <c r="G205" i="24"/>
  <c r="I205" i="24" s="1"/>
  <c r="D205" i="24"/>
  <c r="C205" i="24"/>
  <c r="E205" i="24" s="1"/>
  <c r="I204" i="24"/>
  <c r="H204" i="24"/>
  <c r="G204" i="24"/>
  <c r="D204" i="24"/>
  <c r="C204" i="24"/>
  <c r="E204" i="24" s="1"/>
  <c r="H203" i="24"/>
  <c r="G203" i="24"/>
  <c r="I203" i="24" s="1"/>
  <c r="D203" i="24"/>
  <c r="C203" i="24"/>
  <c r="E203" i="24" s="1"/>
  <c r="H202" i="24"/>
  <c r="G202" i="24"/>
  <c r="D202" i="24"/>
  <c r="C202" i="24"/>
  <c r="E202" i="24" s="1"/>
  <c r="H201" i="24"/>
  <c r="G201" i="24"/>
  <c r="I201" i="24" s="1"/>
  <c r="D201" i="24"/>
  <c r="C201" i="24"/>
  <c r="E201" i="24" s="1"/>
  <c r="H200" i="24"/>
  <c r="G200" i="24"/>
  <c r="I200" i="24" s="1"/>
  <c r="D200" i="24"/>
  <c r="C200" i="24"/>
  <c r="E200" i="24" s="1"/>
  <c r="H199" i="24"/>
  <c r="G199" i="24"/>
  <c r="I199" i="24" s="1"/>
  <c r="D199" i="24"/>
  <c r="C199" i="24"/>
  <c r="E199" i="24" s="1"/>
  <c r="H198" i="24"/>
  <c r="G198" i="24"/>
  <c r="I198" i="24" s="1"/>
  <c r="D198" i="24"/>
  <c r="C198" i="24"/>
  <c r="E198" i="24" s="1"/>
  <c r="H197" i="24"/>
  <c r="G197" i="24"/>
  <c r="E197" i="24"/>
  <c r="D197" i="24"/>
  <c r="C197" i="24"/>
  <c r="I195" i="24"/>
  <c r="H195" i="24"/>
  <c r="G195" i="24"/>
  <c r="D195" i="24"/>
  <c r="C195" i="24"/>
  <c r="E195" i="24" s="1"/>
  <c r="H194" i="24"/>
  <c r="G194" i="24"/>
  <c r="I194" i="24" s="1"/>
  <c r="D194" i="24"/>
  <c r="C194" i="24"/>
  <c r="E194" i="24" s="1"/>
  <c r="H193" i="24"/>
  <c r="G193" i="24"/>
  <c r="I193" i="24" s="1"/>
  <c r="D193" i="24"/>
  <c r="C193" i="24"/>
  <c r="E193" i="24" s="1"/>
  <c r="H192" i="24"/>
  <c r="G192" i="24"/>
  <c r="I192" i="24" s="1"/>
  <c r="D192" i="24"/>
  <c r="C192" i="24"/>
  <c r="E192" i="24" s="1"/>
  <c r="H191" i="24"/>
  <c r="G191" i="24"/>
  <c r="I191" i="24" s="1"/>
  <c r="D191" i="24"/>
  <c r="C191" i="24"/>
  <c r="E191" i="24" s="1"/>
  <c r="H190" i="24"/>
  <c r="G190" i="24"/>
  <c r="I190" i="24" s="1"/>
  <c r="D190" i="24"/>
  <c r="C190" i="24"/>
  <c r="E190" i="24" s="1"/>
  <c r="H189" i="24"/>
  <c r="G189" i="24"/>
  <c r="D189" i="24"/>
  <c r="C189" i="24"/>
  <c r="E189" i="24" s="1"/>
  <c r="H188" i="24"/>
  <c r="G188" i="24"/>
  <c r="I188" i="24" s="1"/>
  <c r="E188" i="24"/>
  <c r="D188" i="24"/>
  <c r="C188" i="24"/>
  <c r="I187" i="24"/>
  <c r="H187" i="24"/>
  <c r="G187" i="24"/>
  <c r="D187" i="24"/>
  <c r="C187" i="24"/>
  <c r="E187" i="24" s="1"/>
  <c r="H186" i="24"/>
  <c r="G186" i="24"/>
  <c r="I186" i="24" s="1"/>
  <c r="D186" i="24"/>
  <c r="C186" i="24"/>
  <c r="E186" i="24" s="1"/>
  <c r="H185" i="24"/>
  <c r="G185" i="24"/>
  <c r="I185" i="24" s="1"/>
  <c r="D185" i="24"/>
  <c r="C185" i="24"/>
  <c r="E185" i="24" s="1"/>
  <c r="H184" i="24"/>
  <c r="G184" i="24"/>
  <c r="D184" i="24"/>
  <c r="C184" i="24"/>
  <c r="E184" i="24" s="1"/>
  <c r="H182" i="24"/>
  <c r="G182" i="24"/>
  <c r="I182" i="24" s="1"/>
  <c r="D182" i="24"/>
  <c r="C182" i="24"/>
  <c r="E182" i="24" s="1"/>
  <c r="H181" i="24"/>
  <c r="G181" i="24"/>
  <c r="I181" i="24" s="1"/>
  <c r="D181" i="24"/>
  <c r="C181" i="24"/>
  <c r="E181" i="24" s="1"/>
  <c r="H180" i="24"/>
  <c r="G180" i="24"/>
  <c r="I180" i="24" s="1"/>
  <c r="D180" i="24"/>
  <c r="C180" i="24"/>
  <c r="E180" i="24" s="1"/>
  <c r="H179" i="24"/>
  <c r="G179" i="24"/>
  <c r="I179" i="24" s="1"/>
  <c r="E179" i="24"/>
  <c r="D179" i="24"/>
  <c r="C179" i="24"/>
  <c r="I178" i="24"/>
  <c r="H178" i="24"/>
  <c r="G178" i="24"/>
  <c r="D178" i="24"/>
  <c r="C178" i="24"/>
  <c r="E178" i="24" s="1"/>
  <c r="H177" i="24"/>
  <c r="G177" i="24"/>
  <c r="I177" i="24" s="1"/>
  <c r="D177" i="24"/>
  <c r="C177" i="24"/>
  <c r="E177" i="24" s="1"/>
  <c r="I176" i="24"/>
  <c r="H176" i="24"/>
  <c r="G176" i="24"/>
  <c r="D176" i="24"/>
  <c r="C176" i="24"/>
  <c r="E176" i="24" s="1"/>
  <c r="H175" i="24"/>
  <c r="G175" i="24"/>
  <c r="I175" i="24" s="1"/>
  <c r="D175" i="24"/>
  <c r="C175" i="24"/>
  <c r="E175" i="24" s="1"/>
  <c r="H174" i="24"/>
  <c r="G174" i="24"/>
  <c r="I174" i="24" s="1"/>
  <c r="D174" i="24"/>
  <c r="C174" i="24"/>
  <c r="E174" i="24" s="1"/>
  <c r="H173" i="24"/>
  <c r="G173" i="24"/>
  <c r="I173" i="24" s="1"/>
  <c r="D173" i="24"/>
  <c r="C173" i="24"/>
  <c r="E173" i="24" s="1"/>
  <c r="H172" i="24"/>
  <c r="G172" i="24"/>
  <c r="I172" i="24" s="1"/>
  <c r="D172" i="24"/>
  <c r="C172" i="24"/>
  <c r="E172" i="24" s="1"/>
  <c r="H171" i="24"/>
  <c r="G171" i="24"/>
  <c r="D171" i="24"/>
  <c r="C171" i="24"/>
  <c r="E171" i="24" s="1"/>
  <c r="H169" i="24"/>
  <c r="G169" i="24"/>
  <c r="I169" i="24" s="1"/>
  <c r="D169" i="24"/>
  <c r="C169" i="24"/>
  <c r="E169" i="24" s="1"/>
  <c r="H168" i="24"/>
  <c r="G168" i="24"/>
  <c r="I168" i="24" s="1"/>
  <c r="E168" i="24"/>
  <c r="D168" i="24"/>
  <c r="C168" i="24"/>
  <c r="H167" i="24"/>
  <c r="G167" i="24"/>
  <c r="I167" i="24" s="1"/>
  <c r="D167" i="24"/>
  <c r="C167" i="24"/>
  <c r="E167" i="24" s="1"/>
  <c r="H166" i="24"/>
  <c r="G166" i="24"/>
  <c r="I166" i="24" s="1"/>
  <c r="D166" i="24"/>
  <c r="C166" i="24"/>
  <c r="E166" i="24" s="1"/>
  <c r="I165" i="24"/>
  <c r="H165" i="24"/>
  <c r="G165" i="24"/>
  <c r="D165" i="24"/>
  <c r="C165" i="24"/>
  <c r="E165" i="24" s="1"/>
  <c r="H164" i="24"/>
  <c r="G164" i="24"/>
  <c r="I164" i="24" s="1"/>
  <c r="D164" i="24"/>
  <c r="C164" i="24"/>
  <c r="E164" i="24" s="1"/>
  <c r="H163" i="24"/>
  <c r="G163" i="24"/>
  <c r="I163" i="24" s="1"/>
  <c r="D163" i="24"/>
  <c r="C163" i="24"/>
  <c r="E163" i="24" s="1"/>
  <c r="H162" i="24"/>
  <c r="G162" i="24"/>
  <c r="I162" i="24" s="1"/>
  <c r="D162" i="24"/>
  <c r="C162" i="24"/>
  <c r="E162" i="24" s="1"/>
  <c r="H161" i="24"/>
  <c r="G161" i="24"/>
  <c r="I161" i="24" s="1"/>
  <c r="D161" i="24"/>
  <c r="C161" i="24"/>
  <c r="E161" i="24" s="1"/>
  <c r="H160" i="24"/>
  <c r="G160" i="24"/>
  <c r="I160" i="24" s="1"/>
  <c r="E160" i="24"/>
  <c r="D160" i="24"/>
  <c r="C160" i="24"/>
  <c r="H159" i="24"/>
  <c r="G159" i="24"/>
  <c r="I159" i="24" s="1"/>
  <c r="D159" i="24"/>
  <c r="C159" i="24"/>
  <c r="E159" i="24" s="1"/>
  <c r="H158" i="24"/>
  <c r="G158" i="24"/>
  <c r="D158" i="24"/>
  <c r="C158" i="24"/>
  <c r="E158" i="24" s="1"/>
  <c r="I156" i="24"/>
  <c r="H156" i="24"/>
  <c r="G156" i="24"/>
  <c r="D156" i="24"/>
  <c r="C156" i="24"/>
  <c r="E156" i="24" s="1"/>
  <c r="H155" i="24"/>
  <c r="G155" i="24"/>
  <c r="I155" i="24" s="1"/>
  <c r="D155" i="24"/>
  <c r="C155" i="24"/>
  <c r="E155" i="24" s="1"/>
  <c r="H154" i="24"/>
  <c r="G154" i="24"/>
  <c r="I154" i="24" s="1"/>
  <c r="D154" i="24"/>
  <c r="C154" i="24"/>
  <c r="E154" i="24" s="1"/>
  <c r="H153" i="24"/>
  <c r="G153" i="24"/>
  <c r="I153" i="24" s="1"/>
  <c r="D153" i="24"/>
  <c r="C153" i="24"/>
  <c r="E153" i="24" s="1"/>
  <c r="H152" i="24"/>
  <c r="G152" i="24"/>
  <c r="I152" i="24" s="1"/>
  <c r="D152" i="24"/>
  <c r="C152" i="24"/>
  <c r="E152" i="24" s="1"/>
  <c r="H151" i="24"/>
  <c r="G151" i="24"/>
  <c r="D151" i="24"/>
  <c r="C151" i="24"/>
  <c r="E151" i="24" s="1"/>
  <c r="H150" i="24"/>
  <c r="G150" i="24"/>
  <c r="I150" i="24" s="1"/>
  <c r="D150" i="24"/>
  <c r="C150" i="24"/>
  <c r="E150" i="24" s="1"/>
  <c r="H149" i="24"/>
  <c r="G149" i="24"/>
  <c r="I149" i="24" s="1"/>
  <c r="D149" i="24"/>
  <c r="C149" i="24"/>
  <c r="E149" i="24" s="1"/>
  <c r="H148" i="24"/>
  <c r="G148" i="24"/>
  <c r="I148" i="24" s="1"/>
  <c r="D148" i="24"/>
  <c r="C148" i="24"/>
  <c r="E148" i="24" s="1"/>
  <c r="H147" i="24"/>
  <c r="G147" i="24"/>
  <c r="I147" i="24" s="1"/>
  <c r="D147" i="24"/>
  <c r="C147" i="24"/>
  <c r="E147" i="24" s="1"/>
  <c r="I146" i="24"/>
  <c r="H146" i="24"/>
  <c r="G146" i="24"/>
  <c r="D146" i="24"/>
  <c r="C146" i="24"/>
  <c r="E146" i="24" s="1"/>
  <c r="H145" i="24"/>
  <c r="G145" i="24"/>
  <c r="E145" i="24"/>
  <c r="D145" i="24"/>
  <c r="C145" i="24"/>
  <c r="H143" i="24"/>
  <c r="G143" i="24"/>
  <c r="I143" i="24" s="1"/>
  <c r="D143" i="24"/>
  <c r="C143" i="24"/>
  <c r="E143" i="24" s="1"/>
  <c r="H142" i="24"/>
  <c r="G142" i="24"/>
  <c r="I142" i="24" s="1"/>
  <c r="D142" i="24"/>
  <c r="C142" i="24"/>
  <c r="E142" i="24" s="1"/>
  <c r="H141" i="24"/>
  <c r="G141" i="24"/>
  <c r="I141" i="24" s="1"/>
  <c r="D141" i="24"/>
  <c r="C141" i="24"/>
  <c r="E141" i="24" s="1"/>
  <c r="H140" i="24"/>
  <c r="G140" i="24"/>
  <c r="I140" i="24" s="1"/>
  <c r="D140" i="24"/>
  <c r="C140" i="24"/>
  <c r="E140" i="24" s="1"/>
  <c r="K139" i="24"/>
  <c r="H139" i="24"/>
  <c r="G139" i="24"/>
  <c r="I139" i="24" s="1"/>
  <c r="E139" i="24"/>
  <c r="D139" i="24"/>
  <c r="C139" i="24"/>
  <c r="F138" i="24"/>
  <c r="G138" i="24" s="1"/>
  <c r="D138" i="24"/>
  <c r="B138" i="24"/>
  <c r="K140" i="24" s="1"/>
  <c r="D137" i="24"/>
  <c r="C137" i="24"/>
  <c r="E137" i="24" s="1"/>
  <c r="D136" i="24"/>
  <c r="C136" i="24"/>
  <c r="E136" i="24" s="1"/>
  <c r="D135" i="24"/>
  <c r="C135" i="24"/>
  <c r="E135" i="24" s="1"/>
  <c r="D134" i="24"/>
  <c r="C134" i="24"/>
  <c r="E134" i="24" s="1"/>
  <c r="D133" i="24"/>
  <c r="C133" i="24"/>
  <c r="E133" i="24" s="1"/>
  <c r="H132" i="24"/>
  <c r="G132" i="24"/>
  <c r="C132" i="24"/>
  <c r="E132" i="24" s="1"/>
  <c r="B132" i="24"/>
  <c r="K137" i="24" s="1"/>
  <c r="F137" i="24" s="1"/>
  <c r="H130" i="24"/>
  <c r="G130" i="24"/>
  <c r="I130" i="24" s="1"/>
  <c r="D130" i="24"/>
  <c r="C130" i="24"/>
  <c r="E130" i="24" s="1"/>
  <c r="H129" i="24"/>
  <c r="G129" i="24"/>
  <c r="I129" i="24" s="1"/>
  <c r="E129" i="24"/>
  <c r="D129" i="24"/>
  <c r="C129" i="24"/>
  <c r="H128" i="24"/>
  <c r="G128" i="24"/>
  <c r="I128" i="24" s="1"/>
  <c r="D128" i="24"/>
  <c r="C128" i="24"/>
  <c r="E128" i="24" s="1"/>
  <c r="I127" i="24"/>
  <c r="H127" i="24"/>
  <c r="G127" i="24"/>
  <c r="D127" i="24"/>
  <c r="C127" i="24"/>
  <c r="E127" i="24" s="1"/>
  <c r="H126" i="24"/>
  <c r="G126" i="24"/>
  <c r="I126" i="24" s="1"/>
  <c r="D126" i="24"/>
  <c r="C126" i="24"/>
  <c r="E126" i="24" s="1"/>
  <c r="F125" i="24"/>
  <c r="B125" i="24"/>
  <c r="D124" i="24"/>
  <c r="C124" i="24"/>
  <c r="E124" i="24" s="1"/>
  <c r="D123" i="24"/>
  <c r="C123" i="24"/>
  <c r="E123" i="24" s="1"/>
  <c r="D122" i="24"/>
  <c r="C122" i="24"/>
  <c r="E122" i="24" s="1"/>
  <c r="D121" i="24"/>
  <c r="C121" i="24"/>
  <c r="E121" i="24" s="1"/>
  <c r="D120" i="24"/>
  <c r="C120" i="24"/>
  <c r="E120" i="24" s="1"/>
  <c r="H119" i="24"/>
  <c r="G119" i="24"/>
  <c r="B119" i="24"/>
  <c r="K124" i="24" s="1"/>
  <c r="F124" i="24" s="1"/>
  <c r="H124" i="24" s="1"/>
  <c r="I117" i="24"/>
  <c r="H117" i="24"/>
  <c r="G117" i="24"/>
  <c r="D117" i="24"/>
  <c r="C117" i="24"/>
  <c r="E117" i="24" s="1"/>
  <c r="H116" i="24"/>
  <c r="G116" i="24"/>
  <c r="I116" i="24" s="1"/>
  <c r="D116" i="24"/>
  <c r="C116" i="24"/>
  <c r="E116" i="24" s="1"/>
  <c r="H115" i="24"/>
  <c r="G115" i="24"/>
  <c r="I115" i="24" s="1"/>
  <c r="D115" i="24"/>
  <c r="C115" i="24"/>
  <c r="E115" i="24" s="1"/>
  <c r="H114" i="24"/>
  <c r="G114" i="24"/>
  <c r="I114" i="24" s="1"/>
  <c r="E114" i="24"/>
  <c r="D114" i="24"/>
  <c r="C114" i="24"/>
  <c r="H113" i="24"/>
  <c r="G113" i="24"/>
  <c r="I113" i="24" s="1"/>
  <c r="D113" i="24"/>
  <c r="C113" i="24"/>
  <c r="E113" i="24" s="1"/>
  <c r="G112" i="24"/>
  <c r="F112" i="24"/>
  <c r="H112" i="24" s="1"/>
  <c r="B112" i="24"/>
  <c r="K114" i="24" s="1"/>
  <c r="E111" i="24"/>
  <c r="D111" i="24"/>
  <c r="C111" i="24"/>
  <c r="D110" i="24"/>
  <c r="C110" i="24"/>
  <c r="E110" i="24" s="1"/>
  <c r="D109" i="24"/>
  <c r="C109" i="24"/>
  <c r="E109" i="24" s="1"/>
  <c r="D108" i="24"/>
  <c r="C108" i="24"/>
  <c r="E108" i="24" s="1"/>
  <c r="D107" i="24"/>
  <c r="C107" i="24"/>
  <c r="E107" i="24" s="1"/>
  <c r="I106" i="24"/>
  <c r="H106" i="24"/>
  <c r="G106" i="24"/>
  <c r="B106" i="24"/>
  <c r="D106" i="24" s="1"/>
  <c r="I104" i="24"/>
  <c r="H104" i="24"/>
  <c r="G104" i="24"/>
  <c r="D104" i="24"/>
  <c r="C104" i="24"/>
  <c r="E104" i="24" s="1"/>
  <c r="H103" i="24"/>
  <c r="G103" i="24"/>
  <c r="I103" i="24" s="1"/>
  <c r="D103" i="24"/>
  <c r="C103" i="24"/>
  <c r="E103" i="24" s="1"/>
  <c r="H102" i="24"/>
  <c r="G102" i="24"/>
  <c r="I102" i="24" s="1"/>
  <c r="E102" i="24"/>
  <c r="D102" i="24"/>
  <c r="C102" i="24"/>
  <c r="H101" i="24"/>
  <c r="G101" i="24"/>
  <c r="I101" i="24" s="1"/>
  <c r="D101" i="24"/>
  <c r="C101" i="24"/>
  <c r="E101" i="24" s="1"/>
  <c r="H100" i="24"/>
  <c r="G100" i="24"/>
  <c r="I100" i="24" s="1"/>
  <c r="D100" i="24"/>
  <c r="C100" i="24"/>
  <c r="E100" i="24" s="1"/>
  <c r="F99" i="24"/>
  <c r="H99" i="24" s="1"/>
  <c r="C99" i="24"/>
  <c r="E99" i="24" s="1"/>
  <c r="B99" i="24"/>
  <c r="K102" i="24" s="1"/>
  <c r="D98" i="24"/>
  <c r="C98" i="24"/>
  <c r="E98" i="24" s="1"/>
  <c r="D97" i="24"/>
  <c r="C97" i="24"/>
  <c r="E97" i="24" s="1"/>
  <c r="D96" i="24"/>
  <c r="C96" i="24"/>
  <c r="E96" i="24" s="1"/>
  <c r="D95" i="24"/>
  <c r="C95" i="24"/>
  <c r="E95" i="24" s="1"/>
  <c r="D94" i="24"/>
  <c r="C94" i="24"/>
  <c r="E94" i="24" s="1"/>
  <c r="H93" i="24"/>
  <c r="G93" i="24"/>
  <c r="B93" i="24"/>
  <c r="K98" i="24" s="1"/>
  <c r="F98" i="24" s="1"/>
  <c r="I91" i="24"/>
  <c r="H91" i="24"/>
  <c r="G91" i="24"/>
  <c r="D91" i="24"/>
  <c r="C91" i="24"/>
  <c r="E91" i="24" s="1"/>
  <c r="H90" i="24"/>
  <c r="G90" i="24"/>
  <c r="I90" i="24" s="1"/>
  <c r="D90" i="24"/>
  <c r="C90" i="24"/>
  <c r="E90" i="24" s="1"/>
  <c r="H89" i="24"/>
  <c r="G89" i="24"/>
  <c r="I89" i="24" s="1"/>
  <c r="D89" i="24"/>
  <c r="C89" i="24"/>
  <c r="E89" i="24" s="1"/>
  <c r="H88" i="24"/>
  <c r="G88" i="24"/>
  <c r="I88" i="24" s="1"/>
  <c r="D88" i="24"/>
  <c r="C88" i="24"/>
  <c r="E88" i="24" s="1"/>
  <c r="H87" i="24"/>
  <c r="G87" i="24"/>
  <c r="I87" i="24" s="1"/>
  <c r="D87" i="24"/>
  <c r="C87" i="24"/>
  <c r="E87" i="24" s="1"/>
  <c r="H86" i="24"/>
  <c r="G86" i="24"/>
  <c r="I86" i="24" s="1"/>
  <c r="C86" i="24"/>
  <c r="E86" i="24" s="1"/>
  <c r="B86" i="24"/>
  <c r="D86" i="24" s="1"/>
  <c r="H85" i="24"/>
  <c r="G85" i="24"/>
  <c r="I85" i="24" s="1"/>
  <c r="E85" i="24"/>
  <c r="D85" i="24"/>
  <c r="C85" i="24"/>
  <c r="H84" i="24"/>
  <c r="G84" i="24"/>
  <c r="I84" i="24" s="1"/>
  <c r="D84" i="24"/>
  <c r="C84" i="24"/>
  <c r="E84" i="24" s="1"/>
  <c r="H83" i="24"/>
  <c r="G83" i="24"/>
  <c r="I83" i="24" s="1"/>
  <c r="D83" i="24"/>
  <c r="C83" i="24"/>
  <c r="E83" i="24" s="1"/>
  <c r="I82" i="24"/>
  <c r="H82" i="24"/>
  <c r="G82" i="24"/>
  <c r="D82" i="24"/>
  <c r="C82" i="24"/>
  <c r="E82" i="24" s="1"/>
  <c r="H81" i="24"/>
  <c r="G81" i="24"/>
  <c r="I81" i="24" s="1"/>
  <c r="D81" i="24"/>
  <c r="C81" i="24"/>
  <c r="E81" i="24" s="1"/>
  <c r="H80" i="24"/>
  <c r="G80" i="24"/>
  <c r="B80" i="24"/>
  <c r="C80" i="24" s="1"/>
  <c r="E80" i="24" s="1"/>
  <c r="I74" i="24"/>
  <c r="H74" i="24"/>
  <c r="G74" i="24"/>
  <c r="D74" i="24"/>
  <c r="C74" i="24"/>
  <c r="E74" i="24" s="1"/>
  <c r="H73" i="24"/>
  <c r="G73" i="24"/>
  <c r="I73" i="24" s="1"/>
  <c r="D73" i="24"/>
  <c r="C73" i="24"/>
  <c r="E73" i="24" s="1"/>
  <c r="H72" i="24"/>
  <c r="G72" i="24"/>
  <c r="I72" i="24" s="1"/>
  <c r="D72" i="24"/>
  <c r="C72" i="24"/>
  <c r="E72" i="24" s="1"/>
  <c r="H71" i="24"/>
  <c r="G71" i="24"/>
  <c r="I71" i="24" s="1"/>
  <c r="D71" i="24"/>
  <c r="C71" i="24"/>
  <c r="E71" i="24" s="1"/>
  <c r="H70" i="24"/>
  <c r="G70" i="24"/>
  <c r="I70" i="24" s="1"/>
  <c r="D70" i="24"/>
  <c r="C70" i="24"/>
  <c r="E70" i="24" s="1"/>
  <c r="H69" i="24"/>
  <c r="G69" i="24"/>
  <c r="I69" i="24" s="1"/>
  <c r="D69" i="24"/>
  <c r="C69" i="24"/>
  <c r="E69" i="24" s="1"/>
  <c r="K68" i="24"/>
  <c r="K69" i="24" s="1"/>
  <c r="F68" i="24"/>
  <c r="H68" i="24" s="1"/>
  <c r="B68" i="24"/>
  <c r="K74" i="24" s="1"/>
  <c r="H67" i="24"/>
  <c r="G67" i="24"/>
  <c r="I67" i="24" s="1"/>
  <c r="D67" i="24"/>
  <c r="C67" i="24"/>
  <c r="E67" i="24" s="1"/>
  <c r="H66" i="24"/>
  <c r="G66" i="24"/>
  <c r="I66" i="24" s="1"/>
  <c r="D66" i="24"/>
  <c r="C66" i="24"/>
  <c r="E66" i="24" s="1"/>
  <c r="H65" i="24"/>
  <c r="G65" i="24"/>
  <c r="I65" i="24" s="1"/>
  <c r="D65" i="24"/>
  <c r="C65" i="24"/>
  <c r="C63" i="24" s="1"/>
  <c r="H64" i="24"/>
  <c r="G64" i="24"/>
  <c r="I64" i="24" s="1"/>
  <c r="D64" i="24"/>
  <c r="D63" i="24" s="1"/>
  <c r="C64" i="24"/>
  <c r="E64" i="24" s="1"/>
  <c r="H63" i="24"/>
  <c r="G63" i="24"/>
  <c r="B63" i="24"/>
  <c r="K64" i="24" s="1"/>
  <c r="H61" i="24"/>
  <c r="G61" i="24"/>
  <c r="I61" i="24" s="1"/>
  <c r="D61" i="24"/>
  <c r="C61" i="24"/>
  <c r="E61" i="24" s="1"/>
  <c r="H60" i="24"/>
  <c r="G60" i="24"/>
  <c r="I60" i="24" s="1"/>
  <c r="D60" i="24"/>
  <c r="C60" i="24"/>
  <c r="E60" i="24" s="1"/>
  <c r="H59" i="24"/>
  <c r="G59" i="24"/>
  <c r="I59" i="24" s="1"/>
  <c r="D59" i="24"/>
  <c r="C59" i="24"/>
  <c r="E59" i="24" s="1"/>
  <c r="H58" i="24"/>
  <c r="G58" i="24"/>
  <c r="I58" i="24" s="1"/>
  <c r="E58" i="24"/>
  <c r="D58" i="24"/>
  <c r="C58" i="24"/>
  <c r="H57" i="24"/>
  <c r="G57" i="24"/>
  <c r="I57" i="24" s="1"/>
  <c r="D57" i="24"/>
  <c r="C57" i="24"/>
  <c r="E57" i="24" s="1"/>
  <c r="H56" i="24"/>
  <c r="G56" i="24"/>
  <c r="I56" i="24" s="1"/>
  <c r="D56" i="24"/>
  <c r="C56" i="24"/>
  <c r="E56" i="24" s="1"/>
  <c r="K55" i="24"/>
  <c r="K56" i="24" s="1"/>
  <c r="F55" i="24"/>
  <c r="G55" i="24" s="1"/>
  <c r="B55" i="24"/>
  <c r="K61" i="24" s="1"/>
  <c r="H54" i="24"/>
  <c r="G54" i="24"/>
  <c r="I54" i="24" s="1"/>
  <c r="D54" i="24"/>
  <c r="C54" i="24"/>
  <c r="E54" i="24" s="1"/>
  <c r="I53" i="24"/>
  <c r="H53" i="24"/>
  <c r="G53" i="24"/>
  <c r="E53" i="24"/>
  <c r="D53" i="24"/>
  <c r="C53" i="24"/>
  <c r="H52" i="24"/>
  <c r="G52" i="24"/>
  <c r="I52" i="24" s="1"/>
  <c r="D52" i="24"/>
  <c r="C52" i="24"/>
  <c r="H51" i="24"/>
  <c r="G51" i="24"/>
  <c r="I51" i="24" s="1"/>
  <c r="D51" i="24"/>
  <c r="D50" i="24" s="1"/>
  <c r="C51" i="24"/>
  <c r="E51" i="24" s="1"/>
  <c r="H50" i="24"/>
  <c r="G50" i="24"/>
  <c r="B50" i="24"/>
  <c r="K51" i="24" s="1"/>
  <c r="H48" i="24"/>
  <c r="G48" i="24"/>
  <c r="I48" i="24" s="1"/>
  <c r="D48" i="24"/>
  <c r="C48" i="24"/>
  <c r="E48" i="24" s="1"/>
  <c r="H47" i="24"/>
  <c r="G47" i="24"/>
  <c r="I47" i="24" s="1"/>
  <c r="D47" i="24"/>
  <c r="C47" i="24"/>
  <c r="E47" i="24" s="1"/>
  <c r="H46" i="24"/>
  <c r="G46" i="24"/>
  <c r="I46" i="24" s="1"/>
  <c r="D46" i="24"/>
  <c r="C46" i="24"/>
  <c r="E46" i="24" s="1"/>
  <c r="H45" i="24"/>
  <c r="G45" i="24"/>
  <c r="I45" i="24" s="1"/>
  <c r="E45" i="24"/>
  <c r="D45" i="24"/>
  <c r="C45" i="24"/>
  <c r="F44" i="24"/>
  <c r="D44" i="24"/>
  <c r="C44" i="24"/>
  <c r="E44" i="24" s="1"/>
  <c r="B43" i="24"/>
  <c r="K46" i="24" s="1"/>
  <c r="I42" i="24"/>
  <c r="H42" i="24"/>
  <c r="G42" i="24"/>
  <c r="D42" i="24"/>
  <c r="C42" i="24"/>
  <c r="E42" i="24" s="1"/>
  <c r="H41" i="24"/>
  <c r="G41" i="24"/>
  <c r="I41" i="24" s="1"/>
  <c r="D41" i="24"/>
  <c r="C41" i="24"/>
  <c r="E41" i="24" s="1"/>
  <c r="H40" i="24"/>
  <c r="G40" i="24"/>
  <c r="I40" i="24" s="1"/>
  <c r="D40" i="24"/>
  <c r="C40" i="24"/>
  <c r="E40" i="24" s="1"/>
  <c r="F39" i="24"/>
  <c r="H39" i="24" s="1"/>
  <c r="D39" i="24"/>
  <c r="C39" i="24"/>
  <c r="E39" i="24" s="1"/>
  <c r="H38" i="24"/>
  <c r="G38" i="24"/>
  <c r="D38" i="24"/>
  <c r="C38" i="24"/>
  <c r="E38" i="24" s="1"/>
  <c r="D37" i="24"/>
  <c r="B37" i="24"/>
  <c r="K40" i="24" s="1"/>
  <c r="H35" i="24"/>
  <c r="G35" i="24"/>
  <c r="I35" i="24" s="1"/>
  <c r="D35" i="24"/>
  <c r="C35" i="24"/>
  <c r="E35" i="24" s="1"/>
  <c r="H34" i="24"/>
  <c r="G34" i="24"/>
  <c r="I34" i="24" s="1"/>
  <c r="D34" i="24"/>
  <c r="C34" i="24"/>
  <c r="E34" i="24" s="1"/>
  <c r="H33" i="24"/>
  <c r="G33" i="24"/>
  <c r="I33" i="24" s="1"/>
  <c r="D33" i="24"/>
  <c r="C33" i="24"/>
  <c r="E33" i="24" s="1"/>
  <c r="I32" i="24"/>
  <c r="H32" i="24"/>
  <c r="G32" i="24"/>
  <c r="E32" i="24"/>
  <c r="D32" i="24"/>
  <c r="C32" i="24"/>
  <c r="F31" i="24"/>
  <c r="H31" i="24" s="1"/>
  <c r="D31" i="24"/>
  <c r="C31" i="24"/>
  <c r="E31" i="24" s="1"/>
  <c r="B30" i="24"/>
  <c r="K33" i="24" s="1"/>
  <c r="I29" i="24"/>
  <c r="H29" i="24"/>
  <c r="G29" i="24"/>
  <c r="D29" i="24"/>
  <c r="C29" i="24"/>
  <c r="E29" i="24" s="1"/>
  <c r="H28" i="24"/>
  <c r="G28" i="24"/>
  <c r="I28" i="24" s="1"/>
  <c r="D28" i="24"/>
  <c r="C28" i="24"/>
  <c r="E28" i="24" s="1"/>
  <c r="H27" i="24"/>
  <c r="G27" i="24"/>
  <c r="I27" i="24" s="1"/>
  <c r="D27" i="24"/>
  <c r="C27" i="24"/>
  <c r="E27" i="24" s="1"/>
  <c r="F26" i="24"/>
  <c r="H26" i="24" s="1"/>
  <c r="D26" i="24"/>
  <c r="C26" i="24"/>
  <c r="E26" i="24" s="1"/>
  <c r="H25" i="24"/>
  <c r="G25" i="24"/>
  <c r="D25" i="24"/>
  <c r="C25" i="24"/>
  <c r="E25" i="24" s="1"/>
  <c r="D24" i="24"/>
  <c r="B24" i="24"/>
  <c r="K27" i="24" s="1"/>
  <c r="H18" i="24"/>
  <c r="G18" i="24"/>
  <c r="I18" i="24" s="1"/>
  <c r="E18" i="24"/>
  <c r="E17" i="24"/>
  <c r="D17" i="24"/>
  <c r="H16" i="24"/>
  <c r="G16" i="24"/>
  <c r="I16" i="24" s="1"/>
  <c r="E16" i="24"/>
  <c r="D16" i="24"/>
  <c r="I15" i="24"/>
  <c r="H15" i="24"/>
  <c r="G15" i="24"/>
  <c r="F9" i="22" s="1"/>
  <c r="D15" i="24"/>
  <c r="C15" i="24"/>
  <c r="E15" i="24" s="1"/>
  <c r="F14" i="24"/>
  <c r="H14" i="24" s="1"/>
  <c r="D14" i="24"/>
  <c r="C14" i="24"/>
  <c r="E14" i="24" s="1"/>
  <c r="F13" i="24"/>
  <c r="H13" i="24" s="1"/>
  <c r="D13" i="24"/>
  <c r="C13" i="24"/>
  <c r="E13" i="24" s="1"/>
  <c r="B12" i="24"/>
  <c r="D12" i="24" s="1"/>
  <c r="H11" i="24"/>
  <c r="F10" i="24"/>
  <c r="J19" i="24" s="1"/>
  <c r="J20" i="24" s="1"/>
  <c r="D10" i="24"/>
  <c r="C10" i="24"/>
  <c r="E10" i="24" s="1"/>
  <c r="H9" i="24"/>
  <c r="G9" i="24"/>
  <c r="I9" i="24" s="1"/>
  <c r="E9" i="24"/>
  <c r="D9" i="24"/>
  <c r="C9" i="24"/>
  <c r="H8" i="24"/>
  <c r="G8" i="24"/>
  <c r="I8" i="24" s="1"/>
  <c r="D8" i="24"/>
  <c r="C8" i="24"/>
  <c r="E8" i="24" s="1"/>
  <c r="K7" i="24"/>
  <c r="H7" i="24"/>
  <c r="G7" i="24"/>
  <c r="I7" i="24" s="1"/>
  <c r="D7" i="24"/>
  <c r="C7" i="24"/>
  <c r="E7" i="24" s="1"/>
  <c r="H6" i="24"/>
  <c r="G6" i="24"/>
  <c r="D6" i="24"/>
  <c r="C6" i="24"/>
  <c r="E6" i="24" s="1"/>
  <c r="B5" i="24"/>
  <c r="K6" i="24" s="1"/>
  <c r="D42" i="23"/>
  <c r="C42" i="23"/>
  <c r="J41" i="23"/>
  <c r="H41" i="23"/>
  <c r="D40" i="23"/>
  <c r="C40" i="23"/>
  <c r="J39" i="23"/>
  <c r="H39" i="23"/>
  <c r="C38" i="23"/>
  <c r="C36" i="23"/>
  <c r="C34" i="23"/>
  <c r="H34" i="23" s="1"/>
  <c r="C32" i="23"/>
  <c r="H32" i="23" s="1"/>
  <c r="D32" i="23"/>
  <c r="H30" i="23"/>
  <c r="G30" i="23"/>
  <c r="D30" i="23"/>
  <c r="J30" i="23" s="1"/>
  <c r="C28" i="23"/>
  <c r="H28" i="23" s="1"/>
  <c r="C26" i="23"/>
  <c r="D26" i="23"/>
  <c r="C24" i="23"/>
  <c r="H24" i="23" s="1"/>
  <c r="C22" i="23"/>
  <c r="D22" i="23"/>
  <c r="D20" i="23"/>
  <c r="C20" i="23"/>
  <c r="H20" i="23" s="1"/>
  <c r="J19" i="23"/>
  <c r="H19" i="23"/>
  <c r="H18" i="23"/>
  <c r="G18" i="23"/>
  <c r="D18" i="23"/>
  <c r="J18" i="23" s="1"/>
  <c r="H16" i="23"/>
  <c r="G16" i="23"/>
  <c r="D16" i="23"/>
  <c r="J16" i="23" s="1"/>
  <c r="H14" i="23"/>
  <c r="H12" i="23"/>
  <c r="H10" i="23"/>
  <c r="G10" i="23"/>
  <c r="G9" i="23"/>
  <c r="N8" i="23"/>
  <c r="H8" i="23"/>
  <c r="D42" i="22"/>
  <c r="C42" i="22"/>
  <c r="G42" i="22" s="1"/>
  <c r="J41" i="22"/>
  <c r="H41" i="22"/>
  <c r="D40" i="22"/>
  <c r="C40" i="22"/>
  <c r="G40" i="22" s="1"/>
  <c r="J39" i="22"/>
  <c r="H39" i="22"/>
  <c r="C38" i="22"/>
  <c r="G38" i="22" s="1"/>
  <c r="C36" i="22"/>
  <c r="C34" i="22"/>
  <c r="G34" i="22" s="1"/>
  <c r="C32" i="22"/>
  <c r="D32" i="22"/>
  <c r="H30" i="22"/>
  <c r="G30" i="22"/>
  <c r="D30" i="22"/>
  <c r="I30" i="22" s="1"/>
  <c r="C28" i="22"/>
  <c r="H28" i="22" s="1"/>
  <c r="C26" i="22"/>
  <c r="D26" i="22"/>
  <c r="C24" i="22"/>
  <c r="H24" i="22" s="1"/>
  <c r="C22" i="22"/>
  <c r="D22" i="22"/>
  <c r="D20" i="22"/>
  <c r="C20" i="22"/>
  <c r="H20" i="22" s="1"/>
  <c r="J19" i="22"/>
  <c r="H19" i="22"/>
  <c r="H18" i="22"/>
  <c r="G18" i="22"/>
  <c r="D18" i="22"/>
  <c r="J18" i="22" s="1"/>
  <c r="H16" i="22"/>
  <c r="G16" i="22"/>
  <c r="D16" i="22"/>
  <c r="J16" i="22" s="1"/>
  <c r="H14" i="22"/>
  <c r="H12" i="22"/>
  <c r="D12" i="22"/>
  <c r="J12" i="22" s="1"/>
  <c r="H10" i="22"/>
  <c r="G10" i="22"/>
  <c r="G9" i="22"/>
  <c r="N8" i="22"/>
  <c r="H8" i="22"/>
  <c r="G42" i="21"/>
  <c r="J41" i="21"/>
  <c r="H41" i="21"/>
  <c r="G40" i="21"/>
  <c r="J39" i="21"/>
  <c r="H39" i="21"/>
  <c r="H38" i="21"/>
  <c r="J38" i="21"/>
  <c r="G38" i="21"/>
  <c r="G34" i="21"/>
  <c r="H32" i="21"/>
  <c r="H30" i="21"/>
  <c r="G30" i="21"/>
  <c r="I30" i="21"/>
  <c r="H26" i="21"/>
  <c r="H24" i="21"/>
  <c r="I20" i="21"/>
  <c r="J19" i="21"/>
  <c r="H19" i="21"/>
  <c r="H18" i="21"/>
  <c r="G18" i="21"/>
  <c r="J18" i="21"/>
  <c r="H16" i="21"/>
  <c r="G16" i="21"/>
  <c r="I16" i="21"/>
  <c r="H14" i="21"/>
  <c r="H12" i="21"/>
  <c r="H10" i="21"/>
  <c r="G10" i="21"/>
  <c r="G9" i="21"/>
  <c r="N8" i="21"/>
  <c r="H8" i="21"/>
  <c r="C2" i="15"/>
  <c r="I223" i="24" l="1"/>
  <c r="E41" i="22"/>
  <c r="F9" i="23"/>
  <c r="I15" i="25"/>
  <c r="H24" i="25"/>
  <c r="G24" i="25"/>
  <c r="I112" i="24"/>
  <c r="I25" i="24"/>
  <c r="E12" i="22"/>
  <c r="I158" i="24"/>
  <c r="H44" i="24"/>
  <c r="G44" i="24"/>
  <c r="I44" i="24" s="1"/>
  <c r="I38" i="25"/>
  <c r="E14" i="23"/>
  <c r="H39" i="25"/>
  <c r="G39" i="25"/>
  <c r="I39" i="25" s="1"/>
  <c r="F15" i="23"/>
  <c r="I55" i="25"/>
  <c r="I132" i="24"/>
  <c r="I138" i="24"/>
  <c r="I151" i="24"/>
  <c r="I189" i="24"/>
  <c r="I197" i="24"/>
  <c r="I6" i="25"/>
  <c r="E8" i="23"/>
  <c r="K27" i="25"/>
  <c r="K29" i="25"/>
  <c r="D86" i="25"/>
  <c r="D138" i="25"/>
  <c r="I151" i="25"/>
  <c r="I210" i="25"/>
  <c r="E39" i="23"/>
  <c r="K32" i="26"/>
  <c r="K35" i="26"/>
  <c r="K31" i="26"/>
  <c r="K70" i="26"/>
  <c r="I202" i="26"/>
  <c r="J18" i="27"/>
  <c r="I18" i="27"/>
  <c r="E68" i="25"/>
  <c r="I93" i="25"/>
  <c r="I176" i="25"/>
  <c r="I184" i="25"/>
  <c r="I223" i="25"/>
  <c r="E41" i="23"/>
  <c r="I132" i="26"/>
  <c r="I176" i="26"/>
  <c r="I50" i="24"/>
  <c r="E15" i="22"/>
  <c r="I63" i="24"/>
  <c r="E17" i="22"/>
  <c r="G31" i="24"/>
  <c r="I31" i="24" s="1"/>
  <c r="I55" i="24"/>
  <c r="F15" i="22"/>
  <c r="D55" i="24"/>
  <c r="I80" i="24"/>
  <c r="D119" i="24"/>
  <c r="I145" i="24"/>
  <c r="I171" i="24"/>
  <c r="I210" i="24"/>
  <c r="E39" i="22"/>
  <c r="F5" i="25"/>
  <c r="H5" i="25" s="1"/>
  <c r="G10" i="25"/>
  <c r="I10" i="25" s="1"/>
  <c r="C24" i="25"/>
  <c r="E24" i="25" s="1"/>
  <c r="K31" i="25"/>
  <c r="C37" i="25"/>
  <c r="E37" i="25" s="1"/>
  <c r="K40" i="25"/>
  <c r="K42" i="25"/>
  <c r="K56" i="25"/>
  <c r="C63" i="25"/>
  <c r="D63" i="25"/>
  <c r="G68" i="25"/>
  <c r="D68" i="25"/>
  <c r="C80" i="25"/>
  <c r="E80" i="25" s="1"/>
  <c r="D99" i="25"/>
  <c r="C106" i="25"/>
  <c r="E106" i="25" s="1"/>
  <c r="G112" i="25"/>
  <c r="K113" i="25"/>
  <c r="D119" i="25"/>
  <c r="K120" i="25"/>
  <c r="F120" i="25" s="1"/>
  <c r="C132" i="25"/>
  <c r="E132" i="25" s="1"/>
  <c r="I138" i="25"/>
  <c r="K139" i="25"/>
  <c r="I158" i="25"/>
  <c r="I171" i="25"/>
  <c r="I189" i="25"/>
  <c r="I197" i="25"/>
  <c r="G14" i="26"/>
  <c r="I14" i="26" s="1"/>
  <c r="H14" i="26"/>
  <c r="E55" i="25"/>
  <c r="C68" i="25"/>
  <c r="K10" i="26"/>
  <c r="K7" i="26"/>
  <c r="D5" i="26"/>
  <c r="K6" i="26"/>
  <c r="C5" i="26"/>
  <c r="E5" i="26" s="1"/>
  <c r="I68" i="26"/>
  <c r="F17" i="27"/>
  <c r="I42" i="23"/>
  <c r="G11" i="24"/>
  <c r="I11" i="24" s="1"/>
  <c r="C5" i="24"/>
  <c r="E5" i="24" s="1"/>
  <c r="I6" i="24"/>
  <c r="E8" i="22"/>
  <c r="K9" i="24"/>
  <c r="K10" i="24"/>
  <c r="C12" i="24"/>
  <c r="E12" i="24" s="1"/>
  <c r="G14" i="24"/>
  <c r="I14" i="24" s="1"/>
  <c r="I38" i="24"/>
  <c r="E14" i="22"/>
  <c r="H55" i="24"/>
  <c r="I93" i="24"/>
  <c r="I119" i="24"/>
  <c r="I184" i="24"/>
  <c r="I202" i="24"/>
  <c r="I25" i="25"/>
  <c r="E12" i="23"/>
  <c r="C30" i="25"/>
  <c r="E30" i="25" s="1"/>
  <c r="D37" i="25"/>
  <c r="K44" i="25"/>
  <c r="I63" i="25"/>
  <c r="E17" i="23"/>
  <c r="I80" i="25"/>
  <c r="C93" i="25"/>
  <c r="E93" i="25" s="1"/>
  <c r="I99" i="25"/>
  <c r="K100" i="25"/>
  <c r="I106" i="25"/>
  <c r="C112" i="25"/>
  <c r="E112" i="25" s="1"/>
  <c r="I132" i="25"/>
  <c r="H138" i="25"/>
  <c r="K143" i="25"/>
  <c r="I145" i="25"/>
  <c r="I202" i="25"/>
  <c r="K72" i="26"/>
  <c r="K71" i="26"/>
  <c r="K74" i="26"/>
  <c r="I93" i="26"/>
  <c r="H99" i="26"/>
  <c r="G99" i="26"/>
  <c r="K110" i="26"/>
  <c r="F110" i="26" s="1"/>
  <c r="K109" i="26"/>
  <c r="F109" i="26" s="1"/>
  <c r="H109" i="26" s="1"/>
  <c r="K108" i="26"/>
  <c r="F108" i="26" s="1"/>
  <c r="H108" i="26" s="1"/>
  <c r="K107" i="26"/>
  <c r="F107" i="26" s="1"/>
  <c r="D106" i="26"/>
  <c r="C106" i="26"/>
  <c r="E106" i="26" s="1"/>
  <c r="I189" i="26"/>
  <c r="J14" i="27"/>
  <c r="I15" i="26"/>
  <c r="F9" i="27"/>
  <c r="I25" i="26"/>
  <c r="E12" i="27"/>
  <c r="G12" i="27" s="1"/>
  <c r="K42" i="26"/>
  <c r="I50" i="26"/>
  <c r="E15" i="27"/>
  <c r="K56" i="26"/>
  <c r="K96" i="26"/>
  <c r="F96" i="26" s="1"/>
  <c r="H96" i="26" s="1"/>
  <c r="K117" i="26"/>
  <c r="K127" i="26"/>
  <c r="I151" i="26"/>
  <c r="I17" i="27"/>
  <c r="G8" i="27"/>
  <c r="I8" i="27"/>
  <c r="I38" i="26"/>
  <c r="E14" i="27"/>
  <c r="G14" i="27" s="1"/>
  <c r="K44" i="26"/>
  <c r="C93" i="26"/>
  <c r="E93" i="26" s="1"/>
  <c r="K97" i="26"/>
  <c r="F97" i="26" s="1"/>
  <c r="H97" i="26" s="1"/>
  <c r="D112" i="26"/>
  <c r="C132" i="26"/>
  <c r="E132" i="26" s="1"/>
  <c r="K133" i="26"/>
  <c r="F133" i="26" s="1"/>
  <c r="H133" i="26" s="1"/>
  <c r="D138" i="26"/>
  <c r="K139" i="26"/>
  <c r="K142" i="26"/>
  <c r="G9" i="26"/>
  <c r="I9" i="26" s="1"/>
  <c r="K29" i="26"/>
  <c r="K48" i="26"/>
  <c r="D63" i="26"/>
  <c r="D68" i="26"/>
  <c r="I80" i="26"/>
  <c r="D93" i="26"/>
  <c r="K94" i="26"/>
  <c r="F94" i="26" s="1"/>
  <c r="H94" i="26" s="1"/>
  <c r="K113" i="26"/>
  <c r="K116" i="26"/>
  <c r="I119" i="26"/>
  <c r="D132" i="26"/>
  <c r="K134" i="26"/>
  <c r="F134" i="26" s="1"/>
  <c r="G134" i="26" s="1"/>
  <c r="I134" i="26" s="1"/>
  <c r="I138" i="26"/>
  <c r="I145" i="26"/>
  <c r="I158" i="26"/>
  <c r="I171" i="26"/>
  <c r="I184" i="26"/>
  <c r="I197" i="26"/>
  <c r="I210" i="26"/>
  <c r="E39" i="27"/>
  <c r="I223" i="26"/>
  <c r="E41" i="27"/>
  <c r="I12" i="27"/>
  <c r="J12" i="27"/>
  <c r="H34" i="21"/>
  <c r="J40" i="21"/>
  <c r="H40" i="21"/>
  <c r="G32" i="21"/>
  <c r="G32" i="23"/>
  <c r="H40" i="22"/>
  <c r="J42" i="22"/>
  <c r="H34" i="22"/>
  <c r="H42" i="22"/>
  <c r="J24" i="21"/>
  <c r="J42" i="21"/>
  <c r="I32" i="21"/>
  <c r="H42" i="21"/>
  <c r="G34" i="23"/>
  <c r="I16" i="23"/>
  <c r="I30" i="23"/>
  <c r="H38" i="22"/>
  <c r="J40" i="22"/>
  <c r="I18" i="21"/>
  <c r="I16" i="22"/>
  <c r="F5" i="26"/>
  <c r="G11" i="26"/>
  <c r="I11" i="26" s="1"/>
  <c r="H11" i="26"/>
  <c r="D12" i="26"/>
  <c r="C12" i="26"/>
  <c r="E12" i="26" s="1"/>
  <c r="G31" i="26"/>
  <c r="I31" i="26" s="1"/>
  <c r="H31" i="26"/>
  <c r="F30" i="26"/>
  <c r="C68" i="26"/>
  <c r="H110" i="26"/>
  <c r="G110" i="26"/>
  <c r="I110" i="26" s="1"/>
  <c r="H135" i="26"/>
  <c r="G135" i="26"/>
  <c r="I135" i="26" s="1"/>
  <c r="E51" i="26"/>
  <c r="E50" i="26" s="1"/>
  <c r="C50" i="26"/>
  <c r="E63" i="26"/>
  <c r="E68" i="26"/>
  <c r="H137" i="26"/>
  <c r="G137" i="26"/>
  <c r="I137" i="26" s="1"/>
  <c r="G44" i="26"/>
  <c r="I44" i="26" s="1"/>
  <c r="H44" i="26"/>
  <c r="F43" i="26"/>
  <c r="D50" i="26"/>
  <c r="D55" i="26"/>
  <c r="K59" i="26"/>
  <c r="K103" i="26"/>
  <c r="K104" i="26"/>
  <c r="K100" i="26"/>
  <c r="D99" i="26"/>
  <c r="H107" i="26"/>
  <c r="G107" i="26"/>
  <c r="H111" i="26"/>
  <c r="G111" i="26"/>
  <c r="I111" i="26" s="1"/>
  <c r="G125" i="26"/>
  <c r="K28" i="26"/>
  <c r="K41" i="26"/>
  <c r="C24" i="26"/>
  <c r="E24" i="26" s="1"/>
  <c r="G24" i="26"/>
  <c r="K27" i="26"/>
  <c r="C30" i="26"/>
  <c r="E30" i="26" s="1"/>
  <c r="K33" i="26"/>
  <c r="C37" i="26"/>
  <c r="E37" i="26" s="1"/>
  <c r="G37" i="26"/>
  <c r="K40" i="26"/>
  <c r="C43" i="26"/>
  <c r="E43" i="26" s="1"/>
  <c r="K46" i="26"/>
  <c r="C55" i="26"/>
  <c r="G55" i="26"/>
  <c r="K58" i="26"/>
  <c r="C80" i="26"/>
  <c r="E80" i="26" s="1"/>
  <c r="G95" i="26"/>
  <c r="I95" i="26" s="1"/>
  <c r="G96" i="26"/>
  <c r="I96" i="26" s="1"/>
  <c r="G98" i="26"/>
  <c r="I98" i="26" s="1"/>
  <c r="C99" i="26"/>
  <c r="E99" i="26" s="1"/>
  <c r="K102" i="26"/>
  <c r="K124" i="26"/>
  <c r="F124" i="26" s="1"/>
  <c r="K123" i="26"/>
  <c r="F123" i="26" s="1"/>
  <c r="K122" i="26"/>
  <c r="F122" i="26" s="1"/>
  <c r="K121" i="26"/>
  <c r="F121" i="26" s="1"/>
  <c r="K120" i="26"/>
  <c r="F120" i="26" s="1"/>
  <c r="D119" i="26"/>
  <c r="C119" i="26"/>
  <c r="E119" i="26" s="1"/>
  <c r="K129" i="26"/>
  <c r="K130" i="26"/>
  <c r="K126" i="26"/>
  <c r="D125" i="26"/>
  <c r="H134" i="26"/>
  <c r="H136" i="26"/>
  <c r="G136" i="26"/>
  <c r="I136" i="26" s="1"/>
  <c r="K34" i="26"/>
  <c r="K47" i="26"/>
  <c r="K8" i="26"/>
  <c r="K9" i="26"/>
  <c r="D24" i="26"/>
  <c r="K25" i="26"/>
  <c r="D30" i="26"/>
  <c r="D37" i="26"/>
  <c r="K38" i="26"/>
  <c r="D43" i="26"/>
  <c r="K115" i="26"/>
  <c r="K141" i="26"/>
  <c r="C112" i="26"/>
  <c r="E112" i="26" s="1"/>
  <c r="C138" i="26"/>
  <c r="E138" i="26" s="1"/>
  <c r="D30" i="24"/>
  <c r="D43" i="24"/>
  <c r="E55" i="24"/>
  <c r="G99" i="24"/>
  <c r="K101" i="24"/>
  <c r="C112" i="24"/>
  <c r="E112" i="24" s="1"/>
  <c r="K117" i="24"/>
  <c r="H138" i="24"/>
  <c r="K143" i="24"/>
  <c r="K57" i="24"/>
  <c r="K25" i="24"/>
  <c r="K26" i="24"/>
  <c r="F30" i="24"/>
  <c r="K38" i="24"/>
  <c r="K39" i="24"/>
  <c r="F43" i="24"/>
  <c r="C50" i="24"/>
  <c r="C55" i="24"/>
  <c r="E65" i="24"/>
  <c r="E63" i="24" s="1"/>
  <c r="E68" i="24"/>
  <c r="D80" i="24"/>
  <c r="D112" i="24"/>
  <c r="K32" i="24"/>
  <c r="K113" i="24"/>
  <c r="K45" i="24"/>
  <c r="D68" i="24"/>
  <c r="G17" i="25"/>
  <c r="I17" i="25" s="1"/>
  <c r="H17" i="25"/>
  <c r="F12" i="25"/>
  <c r="E50" i="25"/>
  <c r="H98" i="25"/>
  <c r="G98" i="25"/>
  <c r="I98" i="25" s="1"/>
  <c r="K8" i="25"/>
  <c r="C5" i="25"/>
  <c r="E5" i="25" s="1"/>
  <c r="G5" i="25"/>
  <c r="K7" i="25"/>
  <c r="H10" i="25"/>
  <c r="G11" i="25"/>
  <c r="I11" i="25" s="1"/>
  <c r="C12" i="25"/>
  <c r="E12" i="25" s="1"/>
  <c r="K28" i="25"/>
  <c r="F30" i="25"/>
  <c r="G31" i="25"/>
  <c r="I31" i="25" s="1"/>
  <c r="K34" i="25"/>
  <c r="F37" i="25"/>
  <c r="K41" i="25"/>
  <c r="F43" i="25"/>
  <c r="G44" i="25"/>
  <c r="I44" i="25" s="1"/>
  <c r="K47" i="25"/>
  <c r="D93" i="25"/>
  <c r="K94" i="25"/>
  <c r="F94" i="25" s="1"/>
  <c r="K95" i="25"/>
  <c r="F95" i="25" s="1"/>
  <c r="K96" i="25"/>
  <c r="F96" i="25" s="1"/>
  <c r="K97" i="25"/>
  <c r="F97" i="25" s="1"/>
  <c r="K103" i="25"/>
  <c r="K111" i="25"/>
  <c r="F111" i="25" s="1"/>
  <c r="K110" i="25"/>
  <c r="F110" i="25" s="1"/>
  <c r="K109" i="25"/>
  <c r="F109" i="25" s="1"/>
  <c r="K108" i="25"/>
  <c r="F108" i="25" s="1"/>
  <c r="K107" i="25"/>
  <c r="F107" i="25" s="1"/>
  <c r="G124" i="25"/>
  <c r="I124" i="25" s="1"/>
  <c r="H137" i="25"/>
  <c r="G137" i="25"/>
  <c r="I137" i="25" s="1"/>
  <c r="D5" i="25"/>
  <c r="K6" i="25"/>
  <c r="H11" i="25"/>
  <c r="C50" i="25"/>
  <c r="C55" i="25"/>
  <c r="K102" i="25"/>
  <c r="K129" i="25"/>
  <c r="K130" i="25"/>
  <c r="K126" i="25"/>
  <c r="D125" i="25"/>
  <c r="K127" i="25"/>
  <c r="C125" i="25"/>
  <c r="E125" i="25" s="1"/>
  <c r="K9" i="25"/>
  <c r="D24" i="25"/>
  <c r="K25" i="25"/>
  <c r="K38" i="25"/>
  <c r="C99" i="25"/>
  <c r="E99" i="25" s="1"/>
  <c r="H125" i="25"/>
  <c r="G125" i="25"/>
  <c r="K128" i="25"/>
  <c r="K116" i="25"/>
  <c r="D132" i="25"/>
  <c r="K133" i="25"/>
  <c r="F133" i="25" s="1"/>
  <c r="K134" i="25"/>
  <c r="F134" i="25" s="1"/>
  <c r="K135" i="25"/>
  <c r="F135" i="25" s="1"/>
  <c r="K136" i="25"/>
  <c r="F136" i="25" s="1"/>
  <c r="K142" i="25"/>
  <c r="C119" i="25"/>
  <c r="E119" i="25" s="1"/>
  <c r="K141" i="25"/>
  <c r="K121" i="25"/>
  <c r="F121" i="25" s="1"/>
  <c r="K122" i="25"/>
  <c r="F122" i="25" s="1"/>
  <c r="K123" i="25"/>
  <c r="F123" i="25" s="1"/>
  <c r="C138" i="25"/>
  <c r="E138" i="25" s="1"/>
  <c r="G98" i="24"/>
  <c r="I98" i="24" s="1"/>
  <c r="H98" i="24"/>
  <c r="K72" i="24"/>
  <c r="F5" i="24"/>
  <c r="K8" i="24"/>
  <c r="G10" i="24"/>
  <c r="I10" i="24" s="1"/>
  <c r="F12" i="24"/>
  <c r="G13" i="24"/>
  <c r="I13" i="24" s="1"/>
  <c r="G17" i="24"/>
  <c r="G26" i="24"/>
  <c r="I26" i="24" s="1"/>
  <c r="K29" i="24"/>
  <c r="K31" i="24"/>
  <c r="K35" i="24"/>
  <c r="G39" i="24"/>
  <c r="I39" i="24" s="1"/>
  <c r="K42" i="24"/>
  <c r="K44" i="24"/>
  <c r="K48" i="24"/>
  <c r="C68" i="24"/>
  <c r="G68" i="24"/>
  <c r="K71" i="24"/>
  <c r="C93" i="24"/>
  <c r="E93" i="24" s="1"/>
  <c r="D99" i="24"/>
  <c r="K100" i="24"/>
  <c r="K104" i="24"/>
  <c r="G124" i="24"/>
  <c r="I124" i="24" s="1"/>
  <c r="H137" i="24"/>
  <c r="G137" i="24"/>
  <c r="I137" i="24" s="1"/>
  <c r="H10" i="24"/>
  <c r="F24" i="24"/>
  <c r="K28" i="24"/>
  <c r="K34" i="24"/>
  <c r="F37" i="24"/>
  <c r="K41" i="24"/>
  <c r="K47" i="24"/>
  <c r="E52" i="24"/>
  <c r="E50" i="24" s="1"/>
  <c r="K59" i="24"/>
  <c r="K70" i="24"/>
  <c r="D93" i="24"/>
  <c r="K94" i="24"/>
  <c r="F94" i="24" s="1"/>
  <c r="K95" i="24"/>
  <c r="F95" i="24" s="1"/>
  <c r="K96" i="24"/>
  <c r="F96" i="24" s="1"/>
  <c r="K97" i="24"/>
  <c r="F97" i="24" s="1"/>
  <c r="K103" i="24"/>
  <c r="K111" i="24"/>
  <c r="F111" i="24" s="1"/>
  <c r="K110" i="24"/>
  <c r="F110" i="24" s="1"/>
  <c r="K109" i="24"/>
  <c r="F109" i="24" s="1"/>
  <c r="K108" i="24"/>
  <c r="F108" i="24" s="1"/>
  <c r="K107" i="24"/>
  <c r="F107" i="24" s="1"/>
  <c r="K129" i="24"/>
  <c r="K130" i="24"/>
  <c r="K126" i="24"/>
  <c r="D125" i="24"/>
  <c r="K127" i="24"/>
  <c r="C125" i="24"/>
  <c r="E125" i="24" s="1"/>
  <c r="D5" i="24"/>
  <c r="C24" i="24"/>
  <c r="E24" i="24" s="1"/>
  <c r="C30" i="24"/>
  <c r="E30" i="24" s="1"/>
  <c r="C37" i="24"/>
  <c r="E37" i="24" s="1"/>
  <c r="C43" i="24"/>
  <c r="E43" i="24" s="1"/>
  <c r="K58" i="24"/>
  <c r="C106" i="24"/>
  <c r="E106" i="24" s="1"/>
  <c r="H125" i="24"/>
  <c r="G125" i="24"/>
  <c r="K128" i="24"/>
  <c r="K116" i="24"/>
  <c r="D132" i="24"/>
  <c r="K133" i="24"/>
  <c r="F133" i="24" s="1"/>
  <c r="K134" i="24"/>
  <c r="F134" i="24" s="1"/>
  <c r="K135" i="24"/>
  <c r="F135" i="24" s="1"/>
  <c r="K136" i="24"/>
  <c r="F136" i="24" s="1"/>
  <c r="K142" i="24"/>
  <c r="K115" i="24"/>
  <c r="C119" i="24"/>
  <c r="E119" i="24" s="1"/>
  <c r="K141" i="24"/>
  <c r="K120" i="24"/>
  <c r="F120" i="24" s="1"/>
  <c r="K121" i="24"/>
  <c r="F121" i="24" s="1"/>
  <c r="K122" i="24"/>
  <c r="F122" i="24" s="1"/>
  <c r="K123" i="24"/>
  <c r="F123" i="24" s="1"/>
  <c r="C138" i="24"/>
  <c r="E138" i="24" s="1"/>
  <c r="D24" i="23"/>
  <c r="J24" i="23" s="1"/>
  <c r="H22" i="23"/>
  <c r="D14" i="23"/>
  <c r="J22" i="23"/>
  <c r="D36" i="23"/>
  <c r="G38" i="23"/>
  <c r="G40" i="23"/>
  <c r="J40" i="23"/>
  <c r="I18" i="23"/>
  <c r="I20" i="23"/>
  <c r="H26" i="23"/>
  <c r="D34" i="23"/>
  <c r="J34" i="23" s="1"/>
  <c r="H40" i="23"/>
  <c r="H38" i="23"/>
  <c r="G42" i="23"/>
  <c r="J42" i="23"/>
  <c r="D12" i="23"/>
  <c r="G20" i="23"/>
  <c r="J20" i="23"/>
  <c r="J26" i="23"/>
  <c r="D28" i="23"/>
  <c r="J28" i="23" s="1"/>
  <c r="H36" i="23"/>
  <c r="G36" i="23"/>
  <c r="I40" i="23"/>
  <c r="H42" i="23"/>
  <c r="I32" i="23"/>
  <c r="D38" i="23"/>
  <c r="J38" i="23" s="1"/>
  <c r="J32" i="23"/>
  <c r="D14" i="22"/>
  <c r="J22" i="22"/>
  <c r="J32" i="22"/>
  <c r="H32" i="22"/>
  <c r="H36" i="22"/>
  <c r="G36" i="22"/>
  <c r="I18" i="22"/>
  <c r="I20" i="22"/>
  <c r="D24" i="22"/>
  <c r="J24" i="22" s="1"/>
  <c r="H26" i="22"/>
  <c r="G32" i="22"/>
  <c r="D34" i="22"/>
  <c r="J34" i="22" s="1"/>
  <c r="G20" i="22"/>
  <c r="J20" i="22"/>
  <c r="H22" i="22"/>
  <c r="J26" i="22"/>
  <c r="D28" i="22"/>
  <c r="J30" i="22"/>
  <c r="I32" i="22"/>
  <c r="D36" i="22"/>
  <c r="I36" i="22" s="1"/>
  <c r="I40" i="22"/>
  <c r="I42" i="22"/>
  <c r="D38" i="22"/>
  <c r="J38" i="22" s="1"/>
  <c r="J34" i="21"/>
  <c r="G20" i="21"/>
  <c r="J20" i="21"/>
  <c r="H22" i="21"/>
  <c r="J26" i="21"/>
  <c r="H28" i="21"/>
  <c r="J32" i="21"/>
  <c r="J16" i="21"/>
  <c r="J30" i="21"/>
  <c r="J22" i="21"/>
  <c r="H36" i="21"/>
  <c r="H20" i="21"/>
  <c r="J28" i="21"/>
  <c r="G36" i="21"/>
  <c r="I36" i="21"/>
  <c r="I38" i="21"/>
  <c r="I40" i="21"/>
  <c r="I42" i="21"/>
  <c r="I68" i="24" l="1"/>
  <c r="F17" i="22"/>
  <c r="H120" i="25"/>
  <c r="G120" i="25"/>
  <c r="I68" i="25"/>
  <c r="F17" i="23"/>
  <c r="I55" i="26"/>
  <c r="F15" i="27"/>
  <c r="G41" i="27"/>
  <c r="I41" i="27"/>
  <c r="G94" i="26"/>
  <c r="I37" i="26"/>
  <c r="G109" i="26"/>
  <c r="I109" i="26" s="1"/>
  <c r="G133" i="26"/>
  <c r="G108" i="26"/>
  <c r="I108" i="26" s="1"/>
  <c r="G15" i="27"/>
  <c r="I15" i="27"/>
  <c r="I14" i="27"/>
  <c r="I24" i="25"/>
  <c r="I125" i="24"/>
  <c r="I107" i="26"/>
  <c r="E24" i="27"/>
  <c r="I125" i="25"/>
  <c r="H17" i="27"/>
  <c r="J17" i="27"/>
  <c r="I99" i="24"/>
  <c r="G97" i="26"/>
  <c r="I97" i="26" s="1"/>
  <c r="I24" i="26"/>
  <c r="I125" i="26"/>
  <c r="G39" i="27"/>
  <c r="I39" i="27"/>
  <c r="J9" i="27"/>
  <c r="H9" i="27"/>
  <c r="I99" i="26"/>
  <c r="I112" i="25"/>
  <c r="I17" i="24"/>
  <c r="M17" i="24"/>
  <c r="I34" i="23"/>
  <c r="G121" i="26"/>
  <c r="I121" i="26" s="1"/>
  <c r="H121" i="26"/>
  <c r="H122" i="26"/>
  <c r="G122" i="26"/>
  <c r="I122" i="26" s="1"/>
  <c r="H43" i="26"/>
  <c r="G43" i="26"/>
  <c r="H30" i="26"/>
  <c r="G30" i="26"/>
  <c r="G123" i="26"/>
  <c r="I123" i="26" s="1"/>
  <c r="H123" i="26"/>
  <c r="H5" i="26"/>
  <c r="G5" i="26"/>
  <c r="G120" i="26"/>
  <c r="H120" i="26"/>
  <c r="G124" i="26"/>
  <c r="I124" i="26" s="1"/>
  <c r="H124" i="26"/>
  <c r="H17" i="26"/>
  <c r="F12" i="26"/>
  <c r="G17" i="26"/>
  <c r="I17" i="26" s="1"/>
  <c r="G43" i="24"/>
  <c r="H43" i="24"/>
  <c r="G30" i="24"/>
  <c r="H30" i="24"/>
  <c r="H123" i="25"/>
  <c r="G123" i="25"/>
  <c r="I123" i="25" s="1"/>
  <c r="H134" i="25"/>
  <c r="G134" i="25"/>
  <c r="I134" i="25" s="1"/>
  <c r="G108" i="25"/>
  <c r="I108" i="25" s="1"/>
  <c r="H108" i="25"/>
  <c r="H94" i="25"/>
  <c r="G94" i="25"/>
  <c r="H43" i="25"/>
  <c r="G43" i="25"/>
  <c r="H122" i="25"/>
  <c r="G122" i="25"/>
  <c r="I122" i="25" s="1"/>
  <c r="H133" i="25"/>
  <c r="G133" i="25"/>
  <c r="G109" i="25"/>
  <c r="I109" i="25" s="1"/>
  <c r="H109" i="25"/>
  <c r="H97" i="25"/>
  <c r="G97" i="25"/>
  <c r="I97" i="25" s="1"/>
  <c r="H30" i="25"/>
  <c r="G30" i="25"/>
  <c r="H12" i="25"/>
  <c r="G12" i="25"/>
  <c r="H37" i="25"/>
  <c r="G37" i="25"/>
  <c r="H121" i="25"/>
  <c r="G121" i="25"/>
  <c r="I121" i="25" s="1"/>
  <c r="H136" i="25"/>
  <c r="G136" i="25"/>
  <c r="I136" i="25" s="1"/>
  <c r="G110" i="25"/>
  <c r="I110" i="25" s="1"/>
  <c r="H110" i="25"/>
  <c r="H96" i="25"/>
  <c r="G96" i="25"/>
  <c r="I96" i="25" s="1"/>
  <c r="H135" i="25"/>
  <c r="G135" i="25"/>
  <c r="I135" i="25" s="1"/>
  <c r="G107" i="25"/>
  <c r="H107" i="25"/>
  <c r="H111" i="25"/>
  <c r="G111" i="25"/>
  <c r="I111" i="25" s="1"/>
  <c r="H95" i="25"/>
  <c r="G95" i="25"/>
  <c r="I95" i="25" s="1"/>
  <c r="I5" i="25"/>
  <c r="G1" i="25"/>
  <c r="G94" i="24"/>
  <c r="H94" i="24"/>
  <c r="H12" i="24"/>
  <c r="G12" i="24"/>
  <c r="H123" i="24"/>
  <c r="G123" i="24"/>
  <c r="I123" i="24" s="1"/>
  <c r="H136" i="24"/>
  <c r="G136" i="24"/>
  <c r="I136" i="24" s="1"/>
  <c r="H109" i="24"/>
  <c r="G109" i="24"/>
  <c r="I109" i="24" s="1"/>
  <c r="G97" i="24"/>
  <c r="I97" i="24" s="1"/>
  <c r="H97" i="24"/>
  <c r="H133" i="24"/>
  <c r="G133" i="24"/>
  <c r="H122" i="24"/>
  <c r="G122" i="24"/>
  <c r="I122" i="24" s="1"/>
  <c r="H135" i="24"/>
  <c r="G135" i="24"/>
  <c r="I135" i="24" s="1"/>
  <c r="H110" i="24"/>
  <c r="G110" i="24"/>
  <c r="I110" i="24" s="1"/>
  <c r="G96" i="24"/>
  <c r="I96" i="24" s="1"/>
  <c r="H96" i="24"/>
  <c r="G24" i="24"/>
  <c r="H24" i="24"/>
  <c r="H120" i="24"/>
  <c r="G120" i="24"/>
  <c r="G108" i="24"/>
  <c r="I108" i="24" s="1"/>
  <c r="H108" i="24"/>
  <c r="H121" i="24"/>
  <c r="G121" i="24"/>
  <c r="I121" i="24" s="1"/>
  <c r="H134" i="24"/>
  <c r="G134" i="24"/>
  <c r="I134" i="24" s="1"/>
  <c r="G107" i="24"/>
  <c r="H107" i="24"/>
  <c r="H111" i="24"/>
  <c r="G111" i="24"/>
  <c r="I111" i="24" s="1"/>
  <c r="G95" i="24"/>
  <c r="I95" i="24" s="1"/>
  <c r="H95" i="24"/>
  <c r="G37" i="24"/>
  <c r="H37" i="24"/>
  <c r="H5" i="24"/>
  <c r="G5" i="24"/>
  <c r="J36" i="23"/>
  <c r="I36" i="23"/>
  <c r="I38" i="23"/>
  <c r="J14" i="23"/>
  <c r="J12" i="23"/>
  <c r="J36" i="22"/>
  <c r="J28" i="22"/>
  <c r="I34" i="22"/>
  <c r="I38" i="22"/>
  <c r="J14" i="22"/>
  <c r="J14" i="21"/>
  <c r="J12" i="21"/>
  <c r="I34" i="21"/>
  <c r="J36" i="21"/>
  <c r="F11" i="17"/>
  <c r="I120" i="24" l="1"/>
  <c r="E26" i="22"/>
  <c r="I133" i="24"/>
  <c r="E28" i="22"/>
  <c r="I30" i="25"/>
  <c r="I94" i="25"/>
  <c r="E22" i="23"/>
  <c r="I94" i="26"/>
  <c r="E22" i="27"/>
  <c r="I107" i="24"/>
  <c r="E24" i="22"/>
  <c r="I30" i="24"/>
  <c r="I12" i="25"/>
  <c r="I133" i="25"/>
  <c r="E28" i="23"/>
  <c r="I43" i="25"/>
  <c r="I120" i="26"/>
  <c r="E26" i="27"/>
  <c r="G24" i="27"/>
  <c r="I24" i="27"/>
  <c r="I37" i="25"/>
  <c r="I133" i="26"/>
  <c r="E28" i="27"/>
  <c r="I94" i="24"/>
  <c r="E22" i="22"/>
  <c r="I107" i="25"/>
  <c r="E24" i="23"/>
  <c r="I43" i="26"/>
  <c r="I37" i="24"/>
  <c r="I24" i="24"/>
  <c r="I43" i="24"/>
  <c r="I30" i="26"/>
  <c r="H15" i="27"/>
  <c r="J15" i="27"/>
  <c r="I120" i="25"/>
  <c r="E26" i="23"/>
  <c r="I12" i="24"/>
  <c r="I5" i="26"/>
  <c r="G1" i="26"/>
  <c r="H12" i="26"/>
  <c r="G12" i="26"/>
  <c r="I5" i="24"/>
  <c r="G1" i="24"/>
  <c r="B32" i="19"/>
  <c r="G28" i="27" l="1"/>
  <c r="I28" i="27"/>
  <c r="G26" i="27"/>
  <c r="I26" i="27"/>
  <c r="G22" i="27"/>
  <c r="I22" i="27"/>
  <c r="I12" i="26"/>
  <c r="C256" i="17"/>
  <c r="C255" i="17"/>
  <c r="C254" i="17"/>
  <c r="C252" i="17"/>
  <c r="C251" i="17"/>
  <c r="B253" i="17"/>
  <c r="C253" i="17" s="1"/>
  <c r="G9" i="15" l="1"/>
  <c r="H8" i="15"/>
  <c r="G10" i="15"/>
  <c r="H10" i="15"/>
  <c r="K42" i="18" l="1"/>
  <c r="K40" i="18"/>
  <c r="K38" i="18"/>
  <c r="K36" i="18"/>
  <c r="K34" i="18"/>
  <c r="K32" i="18"/>
  <c r="K30" i="18"/>
  <c r="K28" i="18"/>
  <c r="K26" i="18"/>
  <c r="K24" i="18"/>
  <c r="K22" i="18"/>
  <c r="K20" i="18"/>
  <c r="K19" i="18"/>
  <c r="K17" i="18"/>
  <c r="K15" i="18"/>
  <c r="K13" i="18"/>
  <c r="K11" i="18"/>
  <c r="K10" i="18"/>
  <c r="C32" i="19"/>
  <c r="E31" i="19"/>
  <c r="N3" i="19" s="1"/>
  <c r="E30" i="19"/>
  <c r="M3" i="19" s="1"/>
  <c r="E29" i="19"/>
  <c r="L3" i="19" s="1"/>
  <c r="D32" i="19"/>
  <c r="E28" i="19"/>
  <c r="E27" i="19"/>
  <c r="E26" i="19"/>
  <c r="E25" i="19"/>
  <c r="H3" i="19" s="1"/>
  <c r="E24" i="19"/>
  <c r="E23" i="19"/>
  <c r="E22" i="19"/>
  <c r="E21" i="19"/>
  <c r="D3" i="19" s="1"/>
  <c r="E20" i="19"/>
  <c r="C3" i="19" s="1"/>
  <c r="K3" i="19"/>
  <c r="J3" i="19"/>
  <c r="I3" i="19"/>
  <c r="G3" i="19"/>
  <c r="F3" i="19"/>
  <c r="E3" i="19"/>
  <c r="J43" i="18"/>
  <c r="G43" i="18"/>
  <c r="L42" i="18"/>
  <c r="J41" i="18"/>
  <c r="G41" i="18"/>
  <c r="L40" i="18"/>
  <c r="J39" i="18"/>
  <c r="K39" i="18" s="1"/>
  <c r="G39" i="18"/>
  <c r="L38" i="18"/>
  <c r="J37" i="18"/>
  <c r="G37" i="18"/>
  <c r="L36" i="18"/>
  <c r="J35" i="18"/>
  <c r="G35" i="18"/>
  <c r="L34" i="18"/>
  <c r="J33" i="18"/>
  <c r="G33" i="18"/>
  <c r="L32" i="18"/>
  <c r="J31" i="18"/>
  <c r="K31" i="18" s="1"/>
  <c r="G31" i="18"/>
  <c r="L30" i="18"/>
  <c r="J29" i="18"/>
  <c r="G29" i="18"/>
  <c r="L28" i="18"/>
  <c r="J27" i="18"/>
  <c r="G27" i="18"/>
  <c r="L26" i="18"/>
  <c r="J25" i="18"/>
  <c r="K25" i="18" s="1"/>
  <c r="G25" i="18"/>
  <c r="L24" i="18"/>
  <c r="J23" i="18"/>
  <c r="K23" i="18" s="1"/>
  <c r="G23" i="18"/>
  <c r="L22" i="18"/>
  <c r="J21" i="18"/>
  <c r="G21" i="18"/>
  <c r="L20" i="18"/>
  <c r="L19" i="18"/>
  <c r="J18" i="18"/>
  <c r="G18" i="18"/>
  <c r="L17" i="18"/>
  <c r="J16" i="18"/>
  <c r="G16" i="18"/>
  <c r="L15" i="18"/>
  <c r="J14" i="18"/>
  <c r="K14" i="18" s="1"/>
  <c r="G14" i="18"/>
  <c r="L13" i="18"/>
  <c r="J12" i="18"/>
  <c r="K12" i="18" s="1"/>
  <c r="G12" i="18"/>
  <c r="L11" i="18"/>
  <c r="L10" i="18"/>
  <c r="J9" i="18"/>
  <c r="L9" i="18" s="1"/>
  <c r="G9" i="18"/>
  <c r="H234" i="17"/>
  <c r="G234" i="17"/>
  <c r="I234" i="17" s="1"/>
  <c r="D234" i="17"/>
  <c r="C234" i="17"/>
  <c r="E234" i="17" s="1"/>
  <c r="H233" i="17"/>
  <c r="G233" i="17"/>
  <c r="I233" i="17" s="1"/>
  <c r="D233" i="17"/>
  <c r="C233" i="17"/>
  <c r="E233" i="17" s="1"/>
  <c r="H232" i="17"/>
  <c r="G232" i="17"/>
  <c r="I232" i="17" s="1"/>
  <c r="D232" i="17"/>
  <c r="C232" i="17"/>
  <c r="E232" i="17" s="1"/>
  <c r="H231" i="17"/>
  <c r="G231" i="17"/>
  <c r="I231" i="17" s="1"/>
  <c r="D231" i="17"/>
  <c r="C231" i="17"/>
  <c r="E231" i="17" s="1"/>
  <c r="H230" i="17"/>
  <c r="G230" i="17"/>
  <c r="I230" i="17" s="1"/>
  <c r="D230" i="17"/>
  <c r="C230" i="17"/>
  <c r="E230" i="17" s="1"/>
  <c r="H229" i="17"/>
  <c r="G229" i="17"/>
  <c r="I229" i="17" s="1"/>
  <c r="D229" i="17"/>
  <c r="C229" i="17"/>
  <c r="E229" i="17" s="1"/>
  <c r="H228" i="17"/>
  <c r="G228" i="17"/>
  <c r="I228" i="17" s="1"/>
  <c r="D228" i="17"/>
  <c r="C228" i="17"/>
  <c r="E228" i="17" s="1"/>
  <c r="H227" i="17"/>
  <c r="G227" i="17"/>
  <c r="I227" i="17" s="1"/>
  <c r="D227" i="17"/>
  <c r="C227" i="17"/>
  <c r="E227" i="17" s="1"/>
  <c r="H226" i="17"/>
  <c r="G226" i="17"/>
  <c r="I226" i="17" s="1"/>
  <c r="D226" i="17"/>
  <c r="C226" i="17"/>
  <c r="E226" i="17" s="1"/>
  <c r="H225" i="17"/>
  <c r="G225" i="17"/>
  <c r="I225" i="17" s="1"/>
  <c r="D225" i="17"/>
  <c r="C225" i="17"/>
  <c r="E225" i="17" s="1"/>
  <c r="H224" i="17"/>
  <c r="G224" i="17"/>
  <c r="I224" i="17" s="1"/>
  <c r="D224" i="17"/>
  <c r="C224" i="17"/>
  <c r="E224" i="17" s="1"/>
  <c r="H223" i="17"/>
  <c r="G223" i="17"/>
  <c r="D223" i="17"/>
  <c r="C223" i="17"/>
  <c r="E223" i="17" s="1"/>
  <c r="H221" i="17"/>
  <c r="G221" i="17"/>
  <c r="I221" i="17" s="1"/>
  <c r="D221" i="17"/>
  <c r="C221" i="17"/>
  <c r="E221" i="17" s="1"/>
  <c r="H220" i="17"/>
  <c r="G220" i="17"/>
  <c r="I220" i="17" s="1"/>
  <c r="D220" i="17"/>
  <c r="C220" i="17"/>
  <c r="E220" i="17" s="1"/>
  <c r="H219" i="17"/>
  <c r="G219" i="17"/>
  <c r="I219" i="17" s="1"/>
  <c r="E219" i="17"/>
  <c r="D219" i="17"/>
  <c r="C219" i="17"/>
  <c r="H218" i="17"/>
  <c r="G218" i="17"/>
  <c r="I218" i="17" s="1"/>
  <c r="D218" i="17"/>
  <c r="C218" i="17"/>
  <c r="E218" i="17" s="1"/>
  <c r="H217" i="17"/>
  <c r="G217" i="17"/>
  <c r="I217" i="17" s="1"/>
  <c r="D217" i="17"/>
  <c r="C217" i="17"/>
  <c r="E217" i="17" s="1"/>
  <c r="H216" i="17"/>
  <c r="G216" i="17"/>
  <c r="I216" i="17" s="1"/>
  <c r="D216" i="17"/>
  <c r="C216" i="17"/>
  <c r="E216" i="17" s="1"/>
  <c r="H215" i="17"/>
  <c r="G215" i="17"/>
  <c r="I215" i="17" s="1"/>
  <c r="D215" i="17"/>
  <c r="C215" i="17"/>
  <c r="E215" i="17" s="1"/>
  <c r="H214" i="17"/>
  <c r="G214" i="17"/>
  <c r="I214" i="17" s="1"/>
  <c r="D214" i="17"/>
  <c r="C214" i="17"/>
  <c r="E214" i="17" s="1"/>
  <c r="H213" i="17"/>
  <c r="G213" i="17"/>
  <c r="I213" i="17" s="1"/>
  <c r="D213" i="17"/>
  <c r="C213" i="17"/>
  <c r="E213" i="17" s="1"/>
  <c r="H212" i="17"/>
  <c r="G212" i="17"/>
  <c r="I212" i="17" s="1"/>
  <c r="D212" i="17"/>
  <c r="C212" i="17"/>
  <c r="E212" i="17" s="1"/>
  <c r="H211" i="17"/>
  <c r="G211" i="17"/>
  <c r="I211" i="17" s="1"/>
  <c r="D211" i="17"/>
  <c r="C211" i="17"/>
  <c r="E211" i="17" s="1"/>
  <c r="H210" i="17"/>
  <c r="G210" i="17"/>
  <c r="E39" i="15" s="1"/>
  <c r="G39" i="15" s="1"/>
  <c r="D210" i="17"/>
  <c r="C210" i="17"/>
  <c r="E210" i="17" s="1"/>
  <c r="H208" i="17"/>
  <c r="G208" i="17"/>
  <c r="I208" i="17" s="1"/>
  <c r="D208" i="17"/>
  <c r="C208" i="17"/>
  <c r="E208" i="17" s="1"/>
  <c r="H207" i="17"/>
  <c r="G207" i="17"/>
  <c r="I207" i="17" s="1"/>
  <c r="D207" i="17"/>
  <c r="C207" i="17"/>
  <c r="E207" i="17" s="1"/>
  <c r="H206" i="17"/>
  <c r="G206" i="17"/>
  <c r="I206" i="17" s="1"/>
  <c r="D206" i="17"/>
  <c r="C206" i="17"/>
  <c r="E206" i="17" s="1"/>
  <c r="H205" i="17"/>
  <c r="G205" i="17"/>
  <c r="I205" i="17" s="1"/>
  <c r="D205" i="17"/>
  <c r="C205" i="17"/>
  <c r="E205" i="17" s="1"/>
  <c r="H204" i="17"/>
  <c r="G204" i="17"/>
  <c r="I204" i="17" s="1"/>
  <c r="D204" i="17"/>
  <c r="C204" i="17"/>
  <c r="E204" i="17" s="1"/>
  <c r="H203" i="17"/>
  <c r="G203" i="17"/>
  <c r="I203" i="17" s="1"/>
  <c r="D203" i="17"/>
  <c r="C203" i="17"/>
  <c r="E203" i="17" s="1"/>
  <c r="H202" i="17"/>
  <c r="G202" i="17"/>
  <c r="I202" i="17" s="1"/>
  <c r="D202" i="17"/>
  <c r="C202" i="17"/>
  <c r="E202" i="17" s="1"/>
  <c r="H201" i="17"/>
  <c r="G201" i="17"/>
  <c r="I201" i="17" s="1"/>
  <c r="D201" i="17"/>
  <c r="C201" i="17"/>
  <c r="E201" i="17" s="1"/>
  <c r="H200" i="17"/>
  <c r="G200" i="17"/>
  <c r="I200" i="17" s="1"/>
  <c r="D200" i="17"/>
  <c r="C200" i="17"/>
  <c r="E200" i="17" s="1"/>
  <c r="H199" i="17"/>
  <c r="G199" i="17"/>
  <c r="I199" i="17" s="1"/>
  <c r="D199" i="17"/>
  <c r="C199" i="17"/>
  <c r="E199" i="17" s="1"/>
  <c r="H198" i="17"/>
  <c r="G198" i="17"/>
  <c r="I198" i="17" s="1"/>
  <c r="D198" i="17"/>
  <c r="C198" i="17"/>
  <c r="E198" i="17" s="1"/>
  <c r="H197" i="17"/>
  <c r="G197" i="17"/>
  <c r="E37" i="15" s="1"/>
  <c r="G37" i="15" s="1"/>
  <c r="D197" i="17"/>
  <c r="C197" i="17"/>
  <c r="E197" i="17" s="1"/>
  <c r="H195" i="17"/>
  <c r="G195" i="17"/>
  <c r="I195" i="17" s="1"/>
  <c r="D195" i="17"/>
  <c r="C195" i="17"/>
  <c r="E195" i="17" s="1"/>
  <c r="H194" i="17"/>
  <c r="G194" i="17"/>
  <c r="I194" i="17" s="1"/>
  <c r="D194" i="17"/>
  <c r="C194" i="17"/>
  <c r="E194" i="17" s="1"/>
  <c r="H193" i="17"/>
  <c r="G193" i="17"/>
  <c r="I193" i="17" s="1"/>
  <c r="D193" i="17"/>
  <c r="C193" i="17"/>
  <c r="E193" i="17" s="1"/>
  <c r="H192" i="17"/>
  <c r="G192" i="17"/>
  <c r="I192" i="17" s="1"/>
  <c r="D192" i="17"/>
  <c r="C192" i="17"/>
  <c r="E192" i="17" s="1"/>
  <c r="H191" i="17"/>
  <c r="G191" i="17"/>
  <c r="I191" i="17" s="1"/>
  <c r="D191" i="17"/>
  <c r="C191" i="17"/>
  <c r="E191" i="17" s="1"/>
  <c r="H190" i="17"/>
  <c r="G190" i="17"/>
  <c r="I190" i="17" s="1"/>
  <c r="D190" i="17"/>
  <c r="C190" i="17"/>
  <c r="E190" i="17" s="1"/>
  <c r="H189" i="17"/>
  <c r="G189" i="17"/>
  <c r="F35" i="15" s="1"/>
  <c r="H35" i="15" s="1"/>
  <c r="D189" i="17"/>
  <c r="C189" i="17"/>
  <c r="E189" i="17" s="1"/>
  <c r="H188" i="17"/>
  <c r="G188" i="17"/>
  <c r="I188" i="17" s="1"/>
  <c r="D188" i="17"/>
  <c r="C188" i="17"/>
  <c r="E188" i="17" s="1"/>
  <c r="H187" i="17"/>
  <c r="G187" i="17"/>
  <c r="I187" i="17" s="1"/>
  <c r="D187" i="17"/>
  <c r="C187" i="17"/>
  <c r="E187" i="17" s="1"/>
  <c r="H186" i="17"/>
  <c r="G186" i="17"/>
  <c r="I186" i="17" s="1"/>
  <c r="D186" i="17"/>
  <c r="C186" i="17"/>
  <c r="E186" i="17" s="1"/>
  <c r="H185" i="17"/>
  <c r="G185" i="17"/>
  <c r="I185" i="17" s="1"/>
  <c r="D185" i="17"/>
  <c r="C185" i="17"/>
  <c r="E185" i="17" s="1"/>
  <c r="H184" i="17"/>
  <c r="G184" i="17"/>
  <c r="E35" i="15" s="1"/>
  <c r="G35" i="15" s="1"/>
  <c r="D184" i="17"/>
  <c r="C184" i="17"/>
  <c r="E184" i="17" s="1"/>
  <c r="H182" i="17"/>
  <c r="G182" i="17"/>
  <c r="I182" i="17" s="1"/>
  <c r="D182" i="17"/>
  <c r="C182" i="17"/>
  <c r="E182" i="17" s="1"/>
  <c r="H181" i="17"/>
  <c r="G181" i="17"/>
  <c r="I181" i="17" s="1"/>
  <c r="D181" i="17"/>
  <c r="C181" i="17"/>
  <c r="E181" i="17" s="1"/>
  <c r="H180" i="17"/>
  <c r="G180" i="17"/>
  <c r="I180" i="17" s="1"/>
  <c r="D180" i="17"/>
  <c r="C180" i="17"/>
  <c r="E180" i="17" s="1"/>
  <c r="H179" i="17"/>
  <c r="G179" i="17"/>
  <c r="I179" i="17" s="1"/>
  <c r="D179" i="17"/>
  <c r="C179" i="17"/>
  <c r="E179" i="17" s="1"/>
  <c r="H178" i="17"/>
  <c r="G178" i="17"/>
  <c r="I178" i="17" s="1"/>
  <c r="D178" i="17"/>
  <c r="C178" i="17"/>
  <c r="E178" i="17" s="1"/>
  <c r="H177" i="17"/>
  <c r="G177" i="17"/>
  <c r="I177" i="17" s="1"/>
  <c r="D177" i="17"/>
  <c r="C177" i="17"/>
  <c r="E177" i="17" s="1"/>
  <c r="H176" i="17"/>
  <c r="G176" i="17"/>
  <c r="D176" i="17"/>
  <c r="C176" i="17"/>
  <c r="E176" i="17" s="1"/>
  <c r="H175" i="17"/>
  <c r="G175" i="17"/>
  <c r="I175" i="17" s="1"/>
  <c r="D175" i="17"/>
  <c r="C175" i="17"/>
  <c r="E175" i="17" s="1"/>
  <c r="H174" i="17"/>
  <c r="G174" i="17"/>
  <c r="I174" i="17" s="1"/>
  <c r="D174" i="17"/>
  <c r="C174" i="17"/>
  <c r="E174" i="17" s="1"/>
  <c r="H173" i="17"/>
  <c r="G173" i="17"/>
  <c r="I173" i="17" s="1"/>
  <c r="D173" i="17"/>
  <c r="C173" i="17"/>
  <c r="E173" i="17" s="1"/>
  <c r="H172" i="17"/>
  <c r="G172" i="17"/>
  <c r="I172" i="17" s="1"/>
  <c r="D172" i="17"/>
  <c r="C172" i="17"/>
  <c r="E172" i="17" s="1"/>
  <c r="H171" i="17"/>
  <c r="G171" i="17"/>
  <c r="D171" i="17"/>
  <c r="C171" i="17"/>
  <c r="E171" i="17" s="1"/>
  <c r="H169" i="17"/>
  <c r="G169" i="17"/>
  <c r="I169" i="17" s="1"/>
  <c r="D169" i="17"/>
  <c r="C169" i="17"/>
  <c r="E169" i="17" s="1"/>
  <c r="H168" i="17"/>
  <c r="G168" i="17"/>
  <c r="I168" i="17" s="1"/>
  <c r="D168" i="17"/>
  <c r="C168" i="17"/>
  <c r="E168" i="17" s="1"/>
  <c r="H167" i="17"/>
  <c r="G167" i="17"/>
  <c r="I167" i="17" s="1"/>
  <c r="D167" i="17"/>
  <c r="C167" i="17"/>
  <c r="E167" i="17" s="1"/>
  <c r="H166" i="17"/>
  <c r="G166" i="17"/>
  <c r="I166" i="17" s="1"/>
  <c r="D166" i="17"/>
  <c r="C166" i="17"/>
  <c r="E166" i="17" s="1"/>
  <c r="H165" i="17"/>
  <c r="G165" i="17"/>
  <c r="I165" i="17" s="1"/>
  <c r="D165" i="17"/>
  <c r="C165" i="17"/>
  <c r="E165" i="17" s="1"/>
  <c r="H164" i="17"/>
  <c r="G164" i="17"/>
  <c r="I164" i="17" s="1"/>
  <c r="D164" i="17"/>
  <c r="C164" i="17"/>
  <c r="E164" i="17" s="1"/>
  <c r="H163" i="17"/>
  <c r="G163" i="17"/>
  <c r="I163" i="17" s="1"/>
  <c r="D163" i="17"/>
  <c r="C163" i="17"/>
  <c r="E163" i="17" s="1"/>
  <c r="H162" i="17"/>
  <c r="G162" i="17"/>
  <c r="I162" i="17" s="1"/>
  <c r="D162" i="17"/>
  <c r="C162" i="17"/>
  <c r="E162" i="17" s="1"/>
  <c r="H161" i="17"/>
  <c r="G161" i="17"/>
  <c r="I161" i="17" s="1"/>
  <c r="D161" i="17"/>
  <c r="C161" i="17"/>
  <c r="E161" i="17" s="1"/>
  <c r="H160" i="17"/>
  <c r="G160" i="17"/>
  <c r="I160" i="17" s="1"/>
  <c r="D160" i="17"/>
  <c r="C160" i="17"/>
  <c r="E160" i="17" s="1"/>
  <c r="H159" i="17"/>
  <c r="G159" i="17"/>
  <c r="I159" i="17" s="1"/>
  <c r="D159" i="17"/>
  <c r="C159" i="17"/>
  <c r="E159" i="17" s="1"/>
  <c r="H158" i="17"/>
  <c r="G158" i="17"/>
  <c r="E31" i="15" s="1"/>
  <c r="D158" i="17"/>
  <c r="C158" i="17"/>
  <c r="E158" i="17" s="1"/>
  <c r="H156" i="17"/>
  <c r="G156" i="17"/>
  <c r="I156" i="17" s="1"/>
  <c r="D156" i="17"/>
  <c r="C156" i="17"/>
  <c r="E156" i="17" s="1"/>
  <c r="H155" i="17"/>
  <c r="G155" i="17"/>
  <c r="I155" i="17" s="1"/>
  <c r="D155" i="17"/>
  <c r="C155" i="17"/>
  <c r="E155" i="17" s="1"/>
  <c r="H154" i="17"/>
  <c r="G154" i="17"/>
  <c r="I154" i="17" s="1"/>
  <c r="D154" i="17"/>
  <c r="C154" i="17"/>
  <c r="E154" i="17" s="1"/>
  <c r="H153" i="17"/>
  <c r="G153" i="17"/>
  <c r="I153" i="17" s="1"/>
  <c r="D153" i="17"/>
  <c r="C153" i="17"/>
  <c r="E153" i="17" s="1"/>
  <c r="H152" i="17"/>
  <c r="G152" i="17"/>
  <c r="I152" i="17" s="1"/>
  <c r="D152" i="17"/>
  <c r="C152" i="17"/>
  <c r="E152" i="17" s="1"/>
  <c r="H151" i="17"/>
  <c r="G151" i="17"/>
  <c r="F29" i="15" s="1"/>
  <c r="H29" i="15" s="1"/>
  <c r="D151" i="17"/>
  <c r="C151" i="17"/>
  <c r="E151" i="17" s="1"/>
  <c r="H150" i="17"/>
  <c r="G150" i="17"/>
  <c r="I150" i="17" s="1"/>
  <c r="D150" i="17"/>
  <c r="C150" i="17"/>
  <c r="E150" i="17" s="1"/>
  <c r="H149" i="17"/>
  <c r="G149" i="17"/>
  <c r="I149" i="17" s="1"/>
  <c r="D149" i="17"/>
  <c r="C149" i="17"/>
  <c r="E149" i="17" s="1"/>
  <c r="H148" i="17"/>
  <c r="G148" i="17"/>
  <c r="I148" i="17" s="1"/>
  <c r="D148" i="17"/>
  <c r="C148" i="17"/>
  <c r="E148" i="17" s="1"/>
  <c r="H147" i="17"/>
  <c r="G147" i="17"/>
  <c r="I147" i="17" s="1"/>
  <c r="D147" i="17"/>
  <c r="C147" i="17"/>
  <c r="E147" i="17" s="1"/>
  <c r="H146" i="17"/>
  <c r="G146" i="17"/>
  <c r="I146" i="17" s="1"/>
  <c r="D146" i="17"/>
  <c r="C146" i="17"/>
  <c r="E146" i="17" s="1"/>
  <c r="H145" i="17"/>
  <c r="G145" i="17"/>
  <c r="D145" i="17"/>
  <c r="C145" i="17"/>
  <c r="E145" i="17" s="1"/>
  <c r="H143" i="17"/>
  <c r="G143" i="17"/>
  <c r="I143" i="17" s="1"/>
  <c r="D143" i="17"/>
  <c r="C143" i="17"/>
  <c r="E143" i="17" s="1"/>
  <c r="H142" i="17"/>
  <c r="G142" i="17"/>
  <c r="I142" i="17" s="1"/>
  <c r="D142" i="17"/>
  <c r="C142" i="17"/>
  <c r="E142" i="17" s="1"/>
  <c r="H141" i="17"/>
  <c r="G141" i="17"/>
  <c r="I141" i="17" s="1"/>
  <c r="D141" i="17"/>
  <c r="C141" i="17"/>
  <c r="E141" i="17" s="1"/>
  <c r="H140" i="17"/>
  <c r="G140" i="17"/>
  <c r="I140" i="17" s="1"/>
  <c r="D140" i="17"/>
  <c r="C140" i="17"/>
  <c r="E140" i="17" s="1"/>
  <c r="H139" i="17"/>
  <c r="G139" i="17"/>
  <c r="I139" i="17" s="1"/>
  <c r="D139" i="17"/>
  <c r="C139" i="17"/>
  <c r="E139" i="17" s="1"/>
  <c r="F138" i="17"/>
  <c r="H138" i="17" s="1"/>
  <c r="B138" i="17"/>
  <c r="K141" i="17" s="1"/>
  <c r="D137" i="17"/>
  <c r="C137" i="17"/>
  <c r="E137" i="17" s="1"/>
  <c r="D136" i="17"/>
  <c r="C136" i="17"/>
  <c r="E136" i="17" s="1"/>
  <c r="D135" i="17"/>
  <c r="C135" i="17"/>
  <c r="E135" i="17" s="1"/>
  <c r="D134" i="17"/>
  <c r="C134" i="17"/>
  <c r="E134" i="17" s="1"/>
  <c r="D133" i="17"/>
  <c r="C133" i="17"/>
  <c r="E133" i="17" s="1"/>
  <c r="H132" i="17"/>
  <c r="G132" i="17"/>
  <c r="B132" i="17"/>
  <c r="H130" i="17"/>
  <c r="G130" i="17"/>
  <c r="I130" i="17" s="1"/>
  <c r="D130" i="17"/>
  <c r="C130" i="17"/>
  <c r="E130" i="17" s="1"/>
  <c r="H129" i="17"/>
  <c r="G129" i="17"/>
  <c r="I129" i="17" s="1"/>
  <c r="D129" i="17"/>
  <c r="C129" i="17"/>
  <c r="E129" i="17" s="1"/>
  <c r="H128" i="17"/>
  <c r="G128" i="17"/>
  <c r="I128" i="17" s="1"/>
  <c r="D128" i="17"/>
  <c r="C128" i="17"/>
  <c r="E128" i="17" s="1"/>
  <c r="H127" i="17"/>
  <c r="G127" i="17"/>
  <c r="I127" i="17" s="1"/>
  <c r="D127" i="17"/>
  <c r="C127" i="17"/>
  <c r="E127" i="17" s="1"/>
  <c r="H126" i="17"/>
  <c r="G126" i="17"/>
  <c r="I126" i="17" s="1"/>
  <c r="D126" i="17"/>
  <c r="C126" i="17"/>
  <c r="E126" i="17" s="1"/>
  <c r="F125" i="17"/>
  <c r="H125" i="17" s="1"/>
  <c r="B125" i="17"/>
  <c r="K130" i="17" s="1"/>
  <c r="D124" i="17"/>
  <c r="C124" i="17"/>
  <c r="E124" i="17" s="1"/>
  <c r="D123" i="17"/>
  <c r="C123" i="17"/>
  <c r="E123" i="17" s="1"/>
  <c r="D122" i="17"/>
  <c r="C122" i="17"/>
  <c r="E122" i="17" s="1"/>
  <c r="D121" i="17"/>
  <c r="C121" i="17"/>
  <c r="E121" i="17" s="1"/>
  <c r="D120" i="17"/>
  <c r="C120" i="17"/>
  <c r="E120" i="17" s="1"/>
  <c r="H119" i="17"/>
  <c r="G119" i="17"/>
  <c r="I119" i="17" s="1"/>
  <c r="B119" i="17"/>
  <c r="C119" i="17" s="1"/>
  <c r="E119" i="17" s="1"/>
  <c r="H117" i="17"/>
  <c r="G117" i="17"/>
  <c r="I117" i="17" s="1"/>
  <c r="D117" i="17"/>
  <c r="C117" i="17"/>
  <c r="E117" i="17" s="1"/>
  <c r="H116" i="17"/>
  <c r="G116" i="17"/>
  <c r="I116" i="17" s="1"/>
  <c r="D116" i="17"/>
  <c r="C116" i="17"/>
  <c r="E116" i="17" s="1"/>
  <c r="H115" i="17"/>
  <c r="G115" i="17"/>
  <c r="I115" i="17" s="1"/>
  <c r="D115" i="17"/>
  <c r="C115" i="17"/>
  <c r="E115" i="17" s="1"/>
  <c r="H114" i="17"/>
  <c r="G114" i="17"/>
  <c r="I114" i="17" s="1"/>
  <c r="D114" i="17"/>
  <c r="C114" i="17"/>
  <c r="E114" i="17" s="1"/>
  <c r="I113" i="17"/>
  <c r="H113" i="17"/>
  <c r="G113" i="17"/>
  <c r="D113" i="17"/>
  <c r="C113" i="17"/>
  <c r="E113" i="17" s="1"/>
  <c r="G112" i="17"/>
  <c r="F23" i="15" s="1"/>
  <c r="H23" i="15" s="1"/>
  <c r="F112" i="17"/>
  <c r="H112" i="17" s="1"/>
  <c r="B112" i="17"/>
  <c r="K115" i="17" s="1"/>
  <c r="D111" i="17"/>
  <c r="C111" i="17"/>
  <c r="E111" i="17" s="1"/>
  <c r="D110" i="17"/>
  <c r="C110" i="17"/>
  <c r="E110" i="17" s="1"/>
  <c r="D109" i="17"/>
  <c r="C109" i="17"/>
  <c r="E109" i="17" s="1"/>
  <c r="D108" i="17"/>
  <c r="C108" i="17"/>
  <c r="E108" i="17" s="1"/>
  <c r="D107" i="17"/>
  <c r="C107" i="17"/>
  <c r="E107" i="17" s="1"/>
  <c r="H106" i="17"/>
  <c r="G106" i="17"/>
  <c r="B106" i="17"/>
  <c r="K107" i="17" s="1"/>
  <c r="F107" i="17" s="1"/>
  <c r="H104" i="17"/>
  <c r="G104" i="17"/>
  <c r="I104" i="17" s="1"/>
  <c r="D104" i="17"/>
  <c r="C104" i="17"/>
  <c r="E104" i="17" s="1"/>
  <c r="H103" i="17"/>
  <c r="G103" i="17"/>
  <c r="I103" i="17" s="1"/>
  <c r="D103" i="17"/>
  <c r="C103" i="17"/>
  <c r="E103" i="17" s="1"/>
  <c r="H102" i="17"/>
  <c r="G102" i="17"/>
  <c r="I102" i="17" s="1"/>
  <c r="D102" i="17"/>
  <c r="C102" i="17"/>
  <c r="E102" i="17" s="1"/>
  <c r="H101" i="17"/>
  <c r="G101" i="17"/>
  <c r="I101" i="17" s="1"/>
  <c r="D101" i="17"/>
  <c r="C101" i="17"/>
  <c r="E101" i="17" s="1"/>
  <c r="H100" i="17"/>
  <c r="G100" i="17"/>
  <c r="I100" i="17" s="1"/>
  <c r="D100" i="17"/>
  <c r="C100" i="17"/>
  <c r="E100" i="17" s="1"/>
  <c r="F99" i="17"/>
  <c r="H99" i="17" s="1"/>
  <c r="B99" i="17"/>
  <c r="K102" i="17" s="1"/>
  <c r="D98" i="17"/>
  <c r="C98" i="17"/>
  <c r="E98" i="17" s="1"/>
  <c r="D97" i="17"/>
  <c r="C97" i="17"/>
  <c r="E97" i="17" s="1"/>
  <c r="D96" i="17"/>
  <c r="C96" i="17"/>
  <c r="E96" i="17" s="1"/>
  <c r="D95" i="17"/>
  <c r="C95" i="17"/>
  <c r="E95" i="17" s="1"/>
  <c r="D94" i="17"/>
  <c r="C94" i="17"/>
  <c r="E94" i="17" s="1"/>
  <c r="H93" i="17"/>
  <c r="G93" i="17"/>
  <c r="B93" i="17"/>
  <c r="K98" i="17" s="1"/>
  <c r="F98" i="17" s="1"/>
  <c r="H91" i="17"/>
  <c r="G91" i="17"/>
  <c r="I91" i="17" s="1"/>
  <c r="D91" i="17"/>
  <c r="C91" i="17"/>
  <c r="E91" i="17" s="1"/>
  <c r="H90" i="17"/>
  <c r="G90" i="17"/>
  <c r="I90" i="17" s="1"/>
  <c r="D90" i="17"/>
  <c r="C90" i="17"/>
  <c r="E90" i="17" s="1"/>
  <c r="H89" i="17"/>
  <c r="G89" i="17"/>
  <c r="I89" i="17" s="1"/>
  <c r="D89" i="17"/>
  <c r="C89" i="17"/>
  <c r="E89" i="17" s="1"/>
  <c r="H88" i="17"/>
  <c r="G88" i="17"/>
  <c r="I88" i="17" s="1"/>
  <c r="D88" i="17"/>
  <c r="C88" i="17"/>
  <c r="E88" i="17" s="1"/>
  <c r="H87" i="17"/>
  <c r="G87" i="17"/>
  <c r="I87" i="17" s="1"/>
  <c r="D87" i="17"/>
  <c r="C87" i="17"/>
  <c r="E87" i="17" s="1"/>
  <c r="H86" i="17"/>
  <c r="G86" i="17"/>
  <c r="I86" i="17" s="1"/>
  <c r="B86" i="17"/>
  <c r="D86" i="17" s="1"/>
  <c r="H85" i="17"/>
  <c r="G85" i="17"/>
  <c r="I85" i="17" s="1"/>
  <c r="D85" i="17"/>
  <c r="C85" i="17"/>
  <c r="E85" i="17" s="1"/>
  <c r="H84" i="17"/>
  <c r="G84" i="17"/>
  <c r="I84" i="17" s="1"/>
  <c r="D84" i="17"/>
  <c r="C84" i="17"/>
  <c r="E84" i="17" s="1"/>
  <c r="H83" i="17"/>
  <c r="G83" i="17"/>
  <c r="I83" i="17" s="1"/>
  <c r="D83" i="17"/>
  <c r="C83" i="17"/>
  <c r="E83" i="17" s="1"/>
  <c r="I82" i="17"/>
  <c r="H82" i="17"/>
  <c r="G82" i="17"/>
  <c r="D82" i="17"/>
  <c r="C82" i="17"/>
  <c r="E82" i="17" s="1"/>
  <c r="H81" i="17"/>
  <c r="G81" i="17"/>
  <c r="I81" i="17" s="1"/>
  <c r="D81" i="17"/>
  <c r="C81" i="17"/>
  <c r="E81" i="17" s="1"/>
  <c r="H80" i="17"/>
  <c r="G80" i="17"/>
  <c r="B80" i="17"/>
  <c r="C80" i="17" s="1"/>
  <c r="E80" i="17" s="1"/>
  <c r="H74" i="17"/>
  <c r="G74" i="17"/>
  <c r="I74" i="17" s="1"/>
  <c r="D74" i="17"/>
  <c r="C74" i="17"/>
  <c r="E74" i="17" s="1"/>
  <c r="H73" i="17"/>
  <c r="G73" i="17"/>
  <c r="I73" i="17" s="1"/>
  <c r="D73" i="17"/>
  <c r="C73" i="17"/>
  <c r="E73" i="17" s="1"/>
  <c r="H72" i="17"/>
  <c r="G72" i="17"/>
  <c r="I72" i="17" s="1"/>
  <c r="D72" i="17"/>
  <c r="C72" i="17"/>
  <c r="E72" i="17" s="1"/>
  <c r="I71" i="17"/>
  <c r="H71" i="17"/>
  <c r="G71" i="17"/>
  <c r="D71" i="17"/>
  <c r="C71" i="17"/>
  <c r="E71" i="17" s="1"/>
  <c r="H70" i="17"/>
  <c r="G70" i="17"/>
  <c r="I70" i="17" s="1"/>
  <c r="D70" i="17"/>
  <c r="C70" i="17"/>
  <c r="E70" i="17" s="1"/>
  <c r="H69" i="17"/>
  <c r="G69" i="17"/>
  <c r="I69" i="17" s="1"/>
  <c r="D69" i="17"/>
  <c r="C69" i="17"/>
  <c r="E69" i="17" s="1"/>
  <c r="K68" i="17"/>
  <c r="K69" i="17" s="1"/>
  <c r="F68" i="17"/>
  <c r="H68" i="17" s="1"/>
  <c r="B68" i="17"/>
  <c r="K74" i="17" s="1"/>
  <c r="H67" i="17"/>
  <c r="G67" i="17"/>
  <c r="I67" i="17" s="1"/>
  <c r="D67" i="17"/>
  <c r="C67" i="17"/>
  <c r="E67" i="17" s="1"/>
  <c r="H66" i="17"/>
  <c r="G66" i="17"/>
  <c r="I66" i="17" s="1"/>
  <c r="D66" i="17"/>
  <c r="C66" i="17"/>
  <c r="E66" i="17" s="1"/>
  <c r="H65" i="17"/>
  <c r="G65" i="17"/>
  <c r="I65" i="17" s="1"/>
  <c r="D65" i="17"/>
  <c r="C65" i="17"/>
  <c r="E65" i="17" s="1"/>
  <c r="H64" i="17"/>
  <c r="G64" i="17"/>
  <c r="I64" i="17" s="1"/>
  <c r="D64" i="17"/>
  <c r="D63" i="17" s="1"/>
  <c r="C64" i="17"/>
  <c r="E64" i="17" s="1"/>
  <c r="H63" i="17"/>
  <c r="G63" i="17"/>
  <c r="E17" i="15" s="1"/>
  <c r="G17" i="15" s="1"/>
  <c r="B63" i="17"/>
  <c r="K64" i="17" s="1"/>
  <c r="H61" i="17"/>
  <c r="G61" i="17"/>
  <c r="I61" i="17" s="1"/>
  <c r="D61" i="17"/>
  <c r="C61" i="17"/>
  <c r="E61" i="17" s="1"/>
  <c r="H60" i="17"/>
  <c r="G60" i="17"/>
  <c r="I60" i="17" s="1"/>
  <c r="D60" i="17"/>
  <c r="C60" i="17"/>
  <c r="E60" i="17" s="1"/>
  <c r="H59" i="17"/>
  <c r="G59" i="17"/>
  <c r="I59" i="17" s="1"/>
  <c r="D59" i="17"/>
  <c r="C59" i="17"/>
  <c r="E59" i="17" s="1"/>
  <c r="H58" i="17"/>
  <c r="G58" i="17"/>
  <c r="I58" i="17" s="1"/>
  <c r="D58" i="17"/>
  <c r="C58" i="17"/>
  <c r="E58" i="17" s="1"/>
  <c r="H57" i="17"/>
  <c r="G57" i="17"/>
  <c r="I57" i="17" s="1"/>
  <c r="D57" i="17"/>
  <c r="C57" i="17"/>
  <c r="E57" i="17" s="1"/>
  <c r="H56" i="17"/>
  <c r="G56" i="17"/>
  <c r="I56" i="17" s="1"/>
  <c r="D56" i="17"/>
  <c r="D55" i="17" s="1"/>
  <c r="C56" i="17"/>
  <c r="E56" i="17" s="1"/>
  <c r="K55" i="17"/>
  <c r="K56" i="17" s="1"/>
  <c r="F55" i="17"/>
  <c r="G55" i="17" s="1"/>
  <c r="B55" i="17"/>
  <c r="K61" i="17" s="1"/>
  <c r="H54" i="17"/>
  <c r="G54" i="17"/>
  <c r="I54" i="17" s="1"/>
  <c r="D54" i="17"/>
  <c r="C54" i="17"/>
  <c r="E54" i="17" s="1"/>
  <c r="H53" i="17"/>
  <c r="G53" i="17"/>
  <c r="I53" i="17" s="1"/>
  <c r="D53" i="17"/>
  <c r="C53" i="17"/>
  <c r="E53" i="17" s="1"/>
  <c r="H52" i="17"/>
  <c r="G52" i="17"/>
  <c r="I52" i="17" s="1"/>
  <c r="D52" i="17"/>
  <c r="C52" i="17"/>
  <c r="H51" i="17"/>
  <c r="G51" i="17"/>
  <c r="I51" i="17" s="1"/>
  <c r="D51" i="17"/>
  <c r="C51" i="17"/>
  <c r="E51" i="17" s="1"/>
  <c r="H50" i="17"/>
  <c r="G50" i="17"/>
  <c r="I50" i="17" s="1"/>
  <c r="D50" i="17"/>
  <c r="B50" i="17"/>
  <c r="K51" i="17" s="1"/>
  <c r="H48" i="17"/>
  <c r="G48" i="17"/>
  <c r="I48" i="17" s="1"/>
  <c r="D48" i="17"/>
  <c r="C48" i="17"/>
  <c r="E48" i="17" s="1"/>
  <c r="H47" i="17"/>
  <c r="G47" i="17"/>
  <c r="I47" i="17" s="1"/>
  <c r="D47" i="17"/>
  <c r="C47" i="17"/>
  <c r="E47" i="17" s="1"/>
  <c r="H46" i="17"/>
  <c r="G46" i="17"/>
  <c r="I46" i="17" s="1"/>
  <c r="D46" i="17"/>
  <c r="C46" i="17"/>
  <c r="E46" i="17" s="1"/>
  <c r="H45" i="17"/>
  <c r="G45" i="17"/>
  <c r="I45" i="17" s="1"/>
  <c r="D45" i="17"/>
  <c r="C45" i="17"/>
  <c r="E45" i="17" s="1"/>
  <c r="F44" i="17"/>
  <c r="H44" i="17" s="1"/>
  <c r="D44" i="17"/>
  <c r="C44" i="17"/>
  <c r="E44" i="17" s="1"/>
  <c r="B43" i="17"/>
  <c r="K46" i="17" s="1"/>
  <c r="H42" i="17"/>
  <c r="G42" i="17"/>
  <c r="I42" i="17" s="1"/>
  <c r="D42" i="17"/>
  <c r="C42" i="17"/>
  <c r="E42" i="17" s="1"/>
  <c r="H41" i="17"/>
  <c r="G41" i="17"/>
  <c r="I41" i="17" s="1"/>
  <c r="D41" i="17"/>
  <c r="C41" i="17"/>
  <c r="E41" i="17" s="1"/>
  <c r="H40" i="17"/>
  <c r="G40" i="17"/>
  <c r="I40" i="17" s="1"/>
  <c r="D40" i="17"/>
  <c r="C40" i="17"/>
  <c r="E40" i="17" s="1"/>
  <c r="F39" i="17"/>
  <c r="D39" i="17"/>
  <c r="C39" i="17"/>
  <c r="E39" i="17" s="1"/>
  <c r="H38" i="17"/>
  <c r="G38" i="17"/>
  <c r="E14" i="15" s="1"/>
  <c r="G14" i="15" s="1"/>
  <c r="D38" i="17"/>
  <c r="C38" i="17"/>
  <c r="E38" i="17" s="1"/>
  <c r="B37" i="17"/>
  <c r="K40" i="17" s="1"/>
  <c r="H35" i="17"/>
  <c r="G35" i="17"/>
  <c r="I35" i="17" s="1"/>
  <c r="D35" i="17"/>
  <c r="C35" i="17"/>
  <c r="E35" i="17" s="1"/>
  <c r="H34" i="17"/>
  <c r="G34" i="17"/>
  <c r="I34" i="17" s="1"/>
  <c r="D34" i="17"/>
  <c r="C34" i="17"/>
  <c r="E34" i="17" s="1"/>
  <c r="H33" i="17"/>
  <c r="G33" i="17"/>
  <c r="I33" i="17" s="1"/>
  <c r="D33" i="17"/>
  <c r="C33" i="17"/>
  <c r="E33" i="17" s="1"/>
  <c r="H32" i="17"/>
  <c r="G32" i="17"/>
  <c r="I32" i="17" s="1"/>
  <c r="D32" i="17"/>
  <c r="C32" i="17"/>
  <c r="E32" i="17" s="1"/>
  <c r="F31" i="17"/>
  <c r="H31" i="17" s="1"/>
  <c r="D31" i="17"/>
  <c r="C31" i="17"/>
  <c r="E31" i="17" s="1"/>
  <c r="B30" i="17"/>
  <c r="K33" i="17" s="1"/>
  <c r="H29" i="17"/>
  <c r="G29" i="17"/>
  <c r="I29" i="17" s="1"/>
  <c r="D29" i="17"/>
  <c r="C29" i="17"/>
  <c r="E29" i="17" s="1"/>
  <c r="H28" i="17"/>
  <c r="G28" i="17"/>
  <c r="I28" i="17" s="1"/>
  <c r="D28" i="17"/>
  <c r="C28" i="17"/>
  <c r="E28" i="17" s="1"/>
  <c r="H27" i="17"/>
  <c r="G27" i="17"/>
  <c r="I27" i="17" s="1"/>
  <c r="D27" i="17"/>
  <c r="C27" i="17"/>
  <c r="E27" i="17" s="1"/>
  <c r="F26" i="17"/>
  <c r="D26" i="17"/>
  <c r="C26" i="17"/>
  <c r="E26" i="17" s="1"/>
  <c r="H25" i="17"/>
  <c r="G25" i="17"/>
  <c r="E12" i="15" s="1"/>
  <c r="G12" i="15" s="1"/>
  <c r="D25" i="17"/>
  <c r="C25" i="17"/>
  <c r="E25" i="17" s="1"/>
  <c r="B24" i="17"/>
  <c r="K27" i="17" s="1"/>
  <c r="H18" i="17"/>
  <c r="G18" i="17"/>
  <c r="I18" i="17" s="1"/>
  <c r="E18" i="17"/>
  <c r="F17" i="17"/>
  <c r="E17" i="17"/>
  <c r="D17" i="17"/>
  <c r="H16" i="17"/>
  <c r="G16" i="17"/>
  <c r="I16" i="17" s="1"/>
  <c r="E16" i="17"/>
  <c r="D16" i="17"/>
  <c r="H15" i="17"/>
  <c r="G15" i="17"/>
  <c r="I15" i="17" s="1"/>
  <c r="D15" i="17"/>
  <c r="C15" i="17"/>
  <c r="E15" i="17" s="1"/>
  <c r="F14" i="17"/>
  <c r="H14" i="17" s="1"/>
  <c r="D14" i="17"/>
  <c r="C14" i="17"/>
  <c r="E14" i="17" s="1"/>
  <c r="F13" i="17"/>
  <c r="D13" i="17"/>
  <c r="C13" i="17"/>
  <c r="E13" i="17" s="1"/>
  <c r="B12" i="17"/>
  <c r="D12" i="17" s="1"/>
  <c r="H11" i="17"/>
  <c r="G11" i="17"/>
  <c r="I11" i="17" s="1"/>
  <c r="F10" i="17"/>
  <c r="J19" i="17" s="1"/>
  <c r="J20" i="17" s="1"/>
  <c r="D10" i="17"/>
  <c r="C10" i="17"/>
  <c r="E10" i="17" s="1"/>
  <c r="H9" i="17"/>
  <c r="G9" i="17"/>
  <c r="I9" i="17" s="1"/>
  <c r="D9" i="17"/>
  <c r="C9" i="17"/>
  <c r="E9" i="17" s="1"/>
  <c r="H8" i="17"/>
  <c r="G8" i="17"/>
  <c r="I8" i="17" s="1"/>
  <c r="D8" i="17"/>
  <c r="C8" i="17"/>
  <c r="E8" i="17" s="1"/>
  <c r="H7" i="17"/>
  <c r="G7" i="17"/>
  <c r="I7" i="17" s="1"/>
  <c r="D7" i="17"/>
  <c r="C7" i="17"/>
  <c r="E7" i="17" s="1"/>
  <c r="H6" i="17"/>
  <c r="G6" i="17"/>
  <c r="E8" i="15" s="1"/>
  <c r="G8" i="15" s="1"/>
  <c r="D6" i="17"/>
  <c r="C6" i="17"/>
  <c r="E6" i="17" s="1"/>
  <c r="B5" i="17"/>
  <c r="K6" i="17" s="1"/>
  <c r="C42" i="15"/>
  <c r="H41" i="15"/>
  <c r="E41" i="15"/>
  <c r="C40" i="15"/>
  <c r="H40" i="15" s="1"/>
  <c r="H39" i="15"/>
  <c r="C38" i="15"/>
  <c r="G38" i="15" s="1"/>
  <c r="C36" i="15"/>
  <c r="H36" i="15" s="1"/>
  <c r="C34" i="15"/>
  <c r="H34" i="15" s="1"/>
  <c r="E33" i="15"/>
  <c r="G33" i="15" s="1"/>
  <c r="C32" i="15"/>
  <c r="G32" i="15" s="1"/>
  <c r="H30" i="15"/>
  <c r="G30" i="15"/>
  <c r="E29" i="15"/>
  <c r="C28" i="15"/>
  <c r="C26" i="15"/>
  <c r="H26" i="15" s="1"/>
  <c r="C24" i="15"/>
  <c r="C22" i="15"/>
  <c r="H22" i="15" s="1"/>
  <c r="C20" i="15"/>
  <c r="H19" i="15"/>
  <c r="E19" i="15"/>
  <c r="H18" i="15"/>
  <c r="G18" i="15"/>
  <c r="H16" i="15"/>
  <c r="G16" i="15"/>
  <c r="H14" i="15"/>
  <c r="H12" i="15"/>
  <c r="N8" i="15"/>
  <c r="E19" i="27" l="1"/>
  <c r="E19" i="23"/>
  <c r="E19" i="22"/>
  <c r="F27" i="27"/>
  <c r="F27" i="22"/>
  <c r="F27" i="23"/>
  <c r="E27" i="27"/>
  <c r="E27" i="23"/>
  <c r="E27" i="22"/>
  <c r="K18" i="18"/>
  <c r="K21" i="18"/>
  <c r="F25" i="22"/>
  <c r="F25" i="23"/>
  <c r="F25" i="27"/>
  <c r="E25" i="27"/>
  <c r="E25" i="23"/>
  <c r="E25" i="22"/>
  <c r="K29" i="18"/>
  <c r="E33" i="22"/>
  <c r="F33" i="27"/>
  <c r="F33" i="23"/>
  <c r="F33" i="22"/>
  <c r="E33" i="27"/>
  <c r="E33" i="23"/>
  <c r="K37" i="18"/>
  <c r="F43" i="17"/>
  <c r="G43" i="17" s="1"/>
  <c r="F13" i="15" s="1"/>
  <c r="H13" i="15" s="1"/>
  <c r="G44" i="17"/>
  <c r="I44" i="17" s="1"/>
  <c r="D119" i="17"/>
  <c r="F33" i="15"/>
  <c r="H33" i="15" s="1"/>
  <c r="E13" i="27"/>
  <c r="F13" i="27"/>
  <c r="F13" i="22"/>
  <c r="F13" i="23"/>
  <c r="E13" i="23"/>
  <c r="E13" i="22"/>
  <c r="K16" i="18"/>
  <c r="F23" i="27"/>
  <c r="F23" i="22"/>
  <c r="E23" i="27"/>
  <c r="F23" i="23"/>
  <c r="E23" i="22"/>
  <c r="E23" i="23"/>
  <c r="K27" i="18"/>
  <c r="E31" i="27"/>
  <c r="F31" i="23"/>
  <c r="E31" i="23"/>
  <c r="F31" i="22"/>
  <c r="E31" i="22"/>
  <c r="F31" i="27"/>
  <c r="K35" i="18"/>
  <c r="K43" i="18"/>
  <c r="F35" i="23"/>
  <c r="E35" i="22"/>
  <c r="E35" i="27"/>
  <c r="E35" i="23"/>
  <c r="F35" i="22"/>
  <c r="F35" i="27"/>
  <c r="E15" i="15"/>
  <c r="G99" i="17"/>
  <c r="F21" i="15" s="1"/>
  <c r="E7" i="23"/>
  <c r="F7" i="23"/>
  <c r="F7" i="22"/>
  <c r="E7" i="22"/>
  <c r="E7" i="27"/>
  <c r="F7" i="27"/>
  <c r="E11" i="23"/>
  <c r="E11" i="27"/>
  <c r="E11" i="22"/>
  <c r="F11" i="23"/>
  <c r="F11" i="27"/>
  <c r="F11" i="22"/>
  <c r="F21" i="23"/>
  <c r="F21" i="22"/>
  <c r="F21" i="27"/>
  <c r="E21" i="23"/>
  <c r="E21" i="22"/>
  <c r="E21" i="27"/>
  <c r="E29" i="22"/>
  <c r="E29" i="27"/>
  <c r="F29" i="23"/>
  <c r="F29" i="27"/>
  <c r="F29" i="22"/>
  <c r="E29" i="23"/>
  <c r="K33" i="18"/>
  <c r="F37" i="23"/>
  <c r="F37" i="27"/>
  <c r="F37" i="22"/>
  <c r="E37" i="27"/>
  <c r="E37" i="23"/>
  <c r="E37" i="22"/>
  <c r="K41" i="18"/>
  <c r="F31" i="15"/>
  <c r="H31" i="15" s="1"/>
  <c r="F37" i="15"/>
  <c r="H37" i="15" s="1"/>
  <c r="G125" i="17"/>
  <c r="F25" i="15" s="1"/>
  <c r="H25" i="15" s="1"/>
  <c r="F30" i="17"/>
  <c r="G30" i="17" s="1"/>
  <c r="G31" i="17"/>
  <c r="I31" i="17" s="1"/>
  <c r="F9" i="15"/>
  <c r="H9" i="15" s="1"/>
  <c r="C112" i="17"/>
  <c r="E112" i="17" s="1"/>
  <c r="D24" i="17"/>
  <c r="C86" i="17"/>
  <c r="E86" i="17" s="1"/>
  <c r="E68" i="17"/>
  <c r="G138" i="17"/>
  <c r="F27" i="15" s="1"/>
  <c r="H27" i="15" s="1"/>
  <c r="C5" i="17"/>
  <c r="E5" i="17" s="1"/>
  <c r="I6" i="17"/>
  <c r="C12" i="17"/>
  <c r="E12" i="17" s="1"/>
  <c r="K25" i="17"/>
  <c r="K26" i="17"/>
  <c r="D37" i="17"/>
  <c r="I38" i="17"/>
  <c r="C55" i="17"/>
  <c r="D68" i="17"/>
  <c r="D99" i="17"/>
  <c r="K129" i="17"/>
  <c r="K140" i="17"/>
  <c r="I151" i="17"/>
  <c r="H30" i="17"/>
  <c r="K32" i="17"/>
  <c r="D43" i="17"/>
  <c r="H55" i="17"/>
  <c r="E63" i="17"/>
  <c r="I93" i="17"/>
  <c r="K103" i="17"/>
  <c r="D106" i="17"/>
  <c r="K114" i="17"/>
  <c r="C125" i="17"/>
  <c r="E125" i="17" s="1"/>
  <c r="I125" i="17"/>
  <c r="I145" i="17"/>
  <c r="I171" i="17"/>
  <c r="I189" i="17"/>
  <c r="I197" i="17"/>
  <c r="I223" i="17"/>
  <c r="K7" i="17"/>
  <c r="K9" i="17"/>
  <c r="I25" i="17"/>
  <c r="K38" i="17"/>
  <c r="K39" i="17"/>
  <c r="I43" i="17"/>
  <c r="K57" i="17"/>
  <c r="C63" i="17"/>
  <c r="I80" i="17"/>
  <c r="I99" i="17"/>
  <c r="I106" i="17"/>
  <c r="I112" i="17"/>
  <c r="I132" i="17"/>
  <c r="K10" i="17"/>
  <c r="D30" i="17"/>
  <c r="H43" i="17"/>
  <c r="K45" i="17"/>
  <c r="I63" i="17"/>
  <c r="D80" i="17"/>
  <c r="C99" i="17"/>
  <c r="E99" i="17" s="1"/>
  <c r="K101" i="17"/>
  <c r="K120" i="17"/>
  <c r="F120" i="17" s="1"/>
  <c r="G120" i="17" s="1"/>
  <c r="K121" i="17"/>
  <c r="F121" i="17" s="1"/>
  <c r="H121" i="17" s="1"/>
  <c r="K122" i="17"/>
  <c r="F122" i="17" s="1"/>
  <c r="H122" i="17" s="1"/>
  <c r="K123" i="17"/>
  <c r="F123" i="17" s="1"/>
  <c r="H123" i="17" s="1"/>
  <c r="K124" i="17"/>
  <c r="F124" i="17" s="1"/>
  <c r="G124" i="17" s="1"/>
  <c r="I124" i="17" s="1"/>
  <c r="C138" i="17"/>
  <c r="E138" i="17" s="1"/>
  <c r="I158" i="17"/>
  <c r="I176" i="17"/>
  <c r="I184" i="17"/>
  <c r="I210" i="17"/>
  <c r="J9" i="15"/>
  <c r="G36" i="15"/>
  <c r="G34" i="15"/>
  <c r="K9" i="18"/>
  <c r="O3" i="19"/>
  <c r="H4" i="19" s="1"/>
  <c r="H5" i="19" s="1"/>
  <c r="H6" i="19" s="1"/>
  <c r="E32" i="19"/>
  <c r="C49" i="15" s="1"/>
  <c r="G14" i="17"/>
  <c r="I14" i="17" s="1"/>
  <c r="G15" i="15"/>
  <c r="G42" i="15"/>
  <c r="H42" i="15"/>
  <c r="H39" i="17"/>
  <c r="F37" i="17"/>
  <c r="G39" i="17"/>
  <c r="I39" i="17" s="1"/>
  <c r="G19" i="15"/>
  <c r="I55" i="17"/>
  <c r="F15" i="15"/>
  <c r="G98" i="17"/>
  <c r="I98" i="17" s="1"/>
  <c r="H98" i="17"/>
  <c r="H24" i="15"/>
  <c r="H28" i="15"/>
  <c r="H21" i="15"/>
  <c r="G20" i="15"/>
  <c r="H38" i="15"/>
  <c r="G40" i="15"/>
  <c r="H13" i="17"/>
  <c r="G13" i="17"/>
  <c r="I13" i="17" s="1"/>
  <c r="F12" i="17"/>
  <c r="H17" i="17"/>
  <c r="G17" i="17"/>
  <c r="H26" i="17"/>
  <c r="F24" i="17"/>
  <c r="G26" i="17"/>
  <c r="I26" i="17" s="1"/>
  <c r="C50" i="17"/>
  <c r="E52" i="17"/>
  <c r="E50" i="17" s="1"/>
  <c r="F11" i="15"/>
  <c r="I30" i="17"/>
  <c r="G107" i="17"/>
  <c r="H107" i="17"/>
  <c r="I8" i="15"/>
  <c r="H20" i="15"/>
  <c r="G29" i="15"/>
  <c r="G31" i="15"/>
  <c r="H32" i="15"/>
  <c r="G41" i="15"/>
  <c r="H10" i="17"/>
  <c r="G10" i="17"/>
  <c r="I10" i="17" s="1"/>
  <c r="F5" i="17"/>
  <c r="E55" i="17"/>
  <c r="K72" i="17"/>
  <c r="H120" i="17"/>
  <c r="G121" i="17"/>
  <c r="I121" i="17" s="1"/>
  <c r="H124" i="17"/>
  <c r="K8" i="17"/>
  <c r="K29" i="17"/>
  <c r="K31" i="17"/>
  <c r="K35" i="17"/>
  <c r="K42" i="17"/>
  <c r="K44" i="17"/>
  <c r="K48" i="17"/>
  <c r="C68" i="17"/>
  <c r="G68" i="17"/>
  <c r="K71" i="17"/>
  <c r="C93" i="17"/>
  <c r="E93" i="17" s="1"/>
  <c r="K100" i="17"/>
  <c r="K104" i="17"/>
  <c r="K28" i="17"/>
  <c r="K34" i="17"/>
  <c r="K41" i="17"/>
  <c r="K47" i="17"/>
  <c r="K59" i="17"/>
  <c r="K70" i="17"/>
  <c r="D93" i="17"/>
  <c r="K94" i="17"/>
  <c r="F94" i="17" s="1"/>
  <c r="K95" i="17"/>
  <c r="F95" i="17" s="1"/>
  <c r="K96" i="17"/>
  <c r="F96" i="17" s="1"/>
  <c r="K97" i="17"/>
  <c r="F97" i="17" s="1"/>
  <c r="K111" i="17"/>
  <c r="F111" i="17" s="1"/>
  <c r="K110" i="17"/>
  <c r="F110" i="17" s="1"/>
  <c r="K109" i="17"/>
  <c r="F109" i="17" s="1"/>
  <c r="K108" i="17"/>
  <c r="F108" i="17" s="1"/>
  <c r="D5" i="17"/>
  <c r="C24" i="17"/>
  <c r="E24" i="17" s="1"/>
  <c r="C30" i="17"/>
  <c r="E30" i="17" s="1"/>
  <c r="C37" i="17"/>
  <c r="E37" i="17" s="1"/>
  <c r="C43" i="17"/>
  <c r="E43" i="17" s="1"/>
  <c r="K58" i="17"/>
  <c r="C106" i="17"/>
  <c r="E106" i="17" s="1"/>
  <c r="K137" i="17"/>
  <c r="F137" i="17" s="1"/>
  <c r="K136" i="17"/>
  <c r="F136" i="17" s="1"/>
  <c r="K135" i="17"/>
  <c r="F135" i="17" s="1"/>
  <c r="K134" i="17"/>
  <c r="F134" i="17" s="1"/>
  <c r="K133" i="17"/>
  <c r="F133" i="17" s="1"/>
  <c r="D132" i="17"/>
  <c r="C132" i="17"/>
  <c r="E132" i="17" s="1"/>
  <c r="D112" i="17"/>
  <c r="K113" i="17"/>
  <c r="K117" i="17"/>
  <c r="K128" i="17"/>
  <c r="D138" i="17"/>
  <c r="K139" i="17"/>
  <c r="K143" i="17"/>
  <c r="K116" i="17"/>
  <c r="K127" i="17"/>
  <c r="K142" i="17"/>
  <c r="G4" i="19"/>
  <c r="G5" i="19" s="1"/>
  <c r="G6" i="19" s="1"/>
  <c r="M4" i="19"/>
  <c r="M5" i="19" s="1"/>
  <c r="M6" i="19" s="1"/>
  <c r="D125" i="17"/>
  <c r="K126" i="17"/>
  <c r="D4" i="19"/>
  <c r="D5" i="19" s="1"/>
  <c r="D6" i="19" s="1"/>
  <c r="N4" i="19"/>
  <c r="N5" i="19" s="1"/>
  <c r="N6" i="19" s="1"/>
  <c r="I37" i="27" l="1"/>
  <c r="G37" i="27"/>
  <c r="G31" i="27"/>
  <c r="I31" i="27"/>
  <c r="H27" i="27"/>
  <c r="J27" i="27"/>
  <c r="G123" i="17"/>
  <c r="I123" i="17" s="1"/>
  <c r="G29" i="27"/>
  <c r="I29" i="27"/>
  <c r="G11" i="27"/>
  <c r="I11" i="27"/>
  <c r="G23" i="27"/>
  <c r="I23" i="27"/>
  <c r="H13" i="27"/>
  <c r="J13" i="27"/>
  <c r="G33" i="27"/>
  <c r="I33" i="27"/>
  <c r="G25" i="27"/>
  <c r="I25" i="27"/>
  <c r="G27" i="27"/>
  <c r="I27" i="27"/>
  <c r="I7" i="27"/>
  <c r="G7" i="27"/>
  <c r="H33" i="27"/>
  <c r="J33" i="27"/>
  <c r="K44" i="18"/>
  <c r="H37" i="27"/>
  <c r="J37" i="27"/>
  <c r="H21" i="27"/>
  <c r="J21" i="27"/>
  <c r="H11" i="27"/>
  <c r="J11" i="27"/>
  <c r="G35" i="27"/>
  <c r="I35" i="27"/>
  <c r="I13" i="27"/>
  <c r="G13" i="27"/>
  <c r="H25" i="27"/>
  <c r="J25" i="27"/>
  <c r="H29" i="27"/>
  <c r="J29" i="27"/>
  <c r="I21" i="27"/>
  <c r="G21" i="27"/>
  <c r="H7" i="27"/>
  <c r="J7" i="27"/>
  <c r="J43" i="27" s="1"/>
  <c r="J35" i="27"/>
  <c r="H35" i="27"/>
  <c r="H31" i="27"/>
  <c r="J31" i="27"/>
  <c r="H23" i="27"/>
  <c r="J23" i="27"/>
  <c r="G19" i="27"/>
  <c r="I19" i="27"/>
  <c r="I138" i="17"/>
  <c r="G122" i="17"/>
  <c r="I122" i="17" s="1"/>
  <c r="I25" i="23"/>
  <c r="G25" i="23"/>
  <c r="G23" i="22"/>
  <c r="I23" i="22"/>
  <c r="I35" i="21"/>
  <c r="G35" i="21"/>
  <c r="H31" i="22"/>
  <c r="J31" i="22"/>
  <c r="J33" i="22"/>
  <c r="H33" i="22"/>
  <c r="I31" i="21"/>
  <c r="G31" i="21"/>
  <c r="I17" i="22"/>
  <c r="G17" i="22"/>
  <c r="G15" i="22"/>
  <c r="I15" i="22"/>
  <c r="H23" i="23"/>
  <c r="J23" i="23"/>
  <c r="J21" i="22"/>
  <c r="H21" i="22"/>
  <c r="H13" i="23"/>
  <c r="J13" i="23"/>
  <c r="G12" i="21"/>
  <c r="I12" i="21"/>
  <c r="G41" i="23"/>
  <c r="I41" i="23"/>
  <c r="G37" i="23"/>
  <c r="I37" i="23"/>
  <c r="H35" i="22"/>
  <c r="J35" i="22"/>
  <c r="G33" i="22"/>
  <c r="I33" i="22"/>
  <c r="I29" i="21"/>
  <c r="G29" i="21"/>
  <c r="J27" i="21"/>
  <c r="H29" i="22"/>
  <c r="J29" i="22"/>
  <c r="J15" i="21"/>
  <c r="H15" i="21"/>
  <c r="H11" i="22"/>
  <c r="J11" i="22"/>
  <c r="J9" i="21"/>
  <c r="H9" i="21"/>
  <c r="I8" i="23"/>
  <c r="G8" i="23"/>
  <c r="I39" i="21"/>
  <c r="G39" i="21"/>
  <c r="J37" i="21"/>
  <c r="H37" i="21"/>
  <c r="G35" i="22"/>
  <c r="I35" i="22"/>
  <c r="H33" i="23"/>
  <c r="J33" i="23"/>
  <c r="H31" i="23"/>
  <c r="J31" i="23"/>
  <c r="I31" i="23"/>
  <c r="G31" i="23"/>
  <c r="G17" i="23"/>
  <c r="I17" i="23"/>
  <c r="I15" i="23"/>
  <c r="G15" i="23"/>
  <c r="H23" i="21"/>
  <c r="J23" i="21"/>
  <c r="J21" i="23"/>
  <c r="H21" i="23"/>
  <c r="G12" i="22"/>
  <c r="I12" i="22"/>
  <c r="H29" i="23"/>
  <c r="J29" i="23"/>
  <c r="H25" i="21"/>
  <c r="J25" i="21"/>
  <c r="G19" i="21"/>
  <c r="I19" i="21"/>
  <c r="G14" i="22"/>
  <c r="I14" i="22"/>
  <c r="J9" i="23"/>
  <c r="H9" i="23"/>
  <c r="G8" i="22"/>
  <c r="I8" i="22"/>
  <c r="I39" i="23"/>
  <c r="G39" i="23"/>
  <c r="H37" i="22"/>
  <c r="J37" i="22"/>
  <c r="G35" i="23"/>
  <c r="I35" i="23"/>
  <c r="H31" i="21"/>
  <c r="J31" i="21"/>
  <c r="I17" i="21"/>
  <c r="G17" i="21"/>
  <c r="G15" i="21"/>
  <c r="I15" i="21"/>
  <c r="J13" i="21"/>
  <c r="H13" i="21"/>
  <c r="G12" i="23"/>
  <c r="I12" i="23"/>
  <c r="G41" i="22"/>
  <c r="I41" i="22"/>
  <c r="G37" i="21"/>
  <c r="I37" i="21"/>
  <c r="H35" i="23"/>
  <c r="J35" i="23"/>
  <c r="G33" i="23"/>
  <c r="I33" i="23"/>
  <c r="I29" i="22"/>
  <c r="G29" i="22"/>
  <c r="H27" i="22"/>
  <c r="J27" i="22"/>
  <c r="H25" i="22"/>
  <c r="J25" i="22"/>
  <c r="G19" i="22"/>
  <c r="I19" i="22"/>
  <c r="J15" i="22"/>
  <c r="H15" i="22"/>
  <c r="G14" i="23"/>
  <c r="I14" i="23"/>
  <c r="H11" i="21"/>
  <c r="J11" i="21"/>
  <c r="I39" i="22"/>
  <c r="G39" i="22"/>
  <c r="H37" i="23"/>
  <c r="J37" i="23"/>
  <c r="H33" i="21"/>
  <c r="J33" i="21"/>
  <c r="I31" i="22"/>
  <c r="G31" i="22"/>
  <c r="H23" i="22"/>
  <c r="J23" i="22"/>
  <c r="J21" i="21"/>
  <c r="H21" i="21"/>
  <c r="H13" i="22"/>
  <c r="J13" i="22"/>
  <c r="G41" i="21"/>
  <c r="I41" i="21"/>
  <c r="G37" i="22"/>
  <c r="I37" i="22"/>
  <c r="H35" i="21"/>
  <c r="J35" i="21"/>
  <c r="G33" i="21"/>
  <c r="I33" i="21"/>
  <c r="G29" i="23"/>
  <c r="I29" i="23"/>
  <c r="H27" i="23"/>
  <c r="J27" i="23"/>
  <c r="H29" i="21"/>
  <c r="J29" i="21"/>
  <c r="H25" i="23"/>
  <c r="J25" i="23"/>
  <c r="I19" i="23"/>
  <c r="G19" i="23"/>
  <c r="J15" i="23"/>
  <c r="H15" i="23"/>
  <c r="G14" i="21"/>
  <c r="I14" i="21"/>
  <c r="H11" i="23"/>
  <c r="J11" i="23"/>
  <c r="J9" i="22"/>
  <c r="H9" i="22"/>
  <c r="I8" i="21"/>
  <c r="G8" i="21"/>
  <c r="I4" i="19"/>
  <c r="I5" i="19" s="1"/>
  <c r="I6" i="19" s="1"/>
  <c r="J4" i="19"/>
  <c r="J5" i="19" s="1"/>
  <c r="J6" i="19" s="1"/>
  <c r="F4" i="19"/>
  <c r="F5" i="19" s="1"/>
  <c r="F6" i="19" s="1"/>
  <c r="F7" i="19" s="1"/>
  <c r="K4" i="19"/>
  <c r="K5" i="19" s="1"/>
  <c r="K6" i="19" s="1"/>
  <c r="E4" i="19"/>
  <c r="E5" i="19" s="1"/>
  <c r="E6" i="19" s="1"/>
  <c r="C4" i="19"/>
  <c r="C5" i="19" s="1"/>
  <c r="C6" i="19" s="1"/>
  <c r="L4" i="19"/>
  <c r="L5" i="19" s="1"/>
  <c r="L6" i="19" s="1"/>
  <c r="L7" i="19" s="1"/>
  <c r="G137" i="17"/>
  <c r="I137" i="17" s="1"/>
  <c r="H137" i="17"/>
  <c r="H12" i="17"/>
  <c r="G12" i="17"/>
  <c r="G134" i="17"/>
  <c r="I134" i="17" s="1"/>
  <c r="H134" i="17"/>
  <c r="G110" i="17"/>
  <c r="I110" i="17" s="1"/>
  <c r="H110" i="17"/>
  <c r="G95" i="17"/>
  <c r="I95" i="17" s="1"/>
  <c r="H95" i="17"/>
  <c r="I120" i="17"/>
  <c r="E25" i="15"/>
  <c r="E26" i="15"/>
  <c r="H5" i="17"/>
  <c r="G5" i="17"/>
  <c r="I107" i="17"/>
  <c r="E24" i="15"/>
  <c r="E23" i="15"/>
  <c r="G133" i="17"/>
  <c r="H133" i="17"/>
  <c r="G109" i="17"/>
  <c r="I109" i="17" s="1"/>
  <c r="H109" i="17"/>
  <c r="G94" i="17"/>
  <c r="H94" i="17"/>
  <c r="I17" i="17"/>
  <c r="H15" i="15"/>
  <c r="C54" i="15"/>
  <c r="C3" i="15"/>
  <c r="G96" i="17"/>
  <c r="I96" i="17" s="1"/>
  <c r="H96" i="17"/>
  <c r="G24" i="17"/>
  <c r="H24" i="17"/>
  <c r="G135" i="17"/>
  <c r="I135" i="17" s="1"/>
  <c r="H135" i="17"/>
  <c r="G111" i="17"/>
  <c r="I111" i="17" s="1"/>
  <c r="H111" i="17"/>
  <c r="G136" i="17"/>
  <c r="I136" i="17" s="1"/>
  <c r="H136" i="17"/>
  <c r="G108" i="17"/>
  <c r="I108" i="17" s="1"/>
  <c r="H108" i="17"/>
  <c r="G97" i="17"/>
  <c r="I97" i="17" s="1"/>
  <c r="H97" i="17"/>
  <c r="I68" i="17"/>
  <c r="F17" i="15"/>
  <c r="H11" i="15"/>
  <c r="G37" i="17"/>
  <c r="H37" i="17"/>
  <c r="H43" i="27" l="1"/>
  <c r="G43" i="27"/>
  <c r="I43" i="27"/>
  <c r="H27" i="21"/>
  <c r="I26" i="23"/>
  <c r="G26" i="23"/>
  <c r="G24" i="21"/>
  <c r="I24" i="21"/>
  <c r="G23" i="21"/>
  <c r="I23" i="21"/>
  <c r="I26" i="21"/>
  <c r="G26" i="21"/>
  <c r="H17" i="22"/>
  <c r="J17" i="22"/>
  <c r="I25" i="22"/>
  <c r="G25" i="22"/>
  <c r="G24" i="22"/>
  <c r="I24" i="22"/>
  <c r="G26" i="22"/>
  <c r="I26" i="22"/>
  <c r="G1" i="17"/>
  <c r="H17" i="23"/>
  <c r="J17" i="23"/>
  <c r="G24" i="23"/>
  <c r="I24" i="23"/>
  <c r="J17" i="21"/>
  <c r="H17" i="21"/>
  <c r="G23" i="23"/>
  <c r="I23" i="23"/>
  <c r="I25" i="21"/>
  <c r="G25" i="21"/>
  <c r="I7" i="19"/>
  <c r="O6" i="19"/>
  <c r="B12" i="19" s="1"/>
  <c r="C7" i="19"/>
  <c r="F3" i="15"/>
  <c r="E3" i="15"/>
  <c r="G24" i="15"/>
  <c r="G26" i="15"/>
  <c r="E13" i="15"/>
  <c r="I37" i="17"/>
  <c r="I24" i="17"/>
  <c r="E11" i="15"/>
  <c r="G25" i="15"/>
  <c r="I94" i="17"/>
  <c r="E21" i="15"/>
  <c r="E22" i="15"/>
  <c r="H17" i="15"/>
  <c r="I133" i="17"/>
  <c r="E28" i="15"/>
  <c r="E27" i="15"/>
  <c r="I5" i="17"/>
  <c r="E7" i="15"/>
  <c r="B9" i="19"/>
  <c r="O9" i="19" s="1"/>
  <c r="C48" i="15"/>
  <c r="G23" i="15"/>
  <c r="I12" i="17"/>
  <c r="F7" i="15"/>
  <c r="G7" i="22" l="1"/>
  <c r="I7" i="22"/>
  <c r="I21" i="21"/>
  <c r="G21" i="21"/>
  <c r="I22" i="23"/>
  <c r="G22" i="23"/>
  <c r="G28" i="21"/>
  <c r="I28" i="21"/>
  <c r="I21" i="22"/>
  <c r="G21" i="22"/>
  <c r="G22" i="21"/>
  <c r="I22" i="21"/>
  <c r="H7" i="22"/>
  <c r="H43" i="22" s="1"/>
  <c r="J7" i="22"/>
  <c r="J43" i="22" s="1"/>
  <c r="I7" i="23"/>
  <c r="G7" i="23"/>
  <c r="I21" i="23"/>
  <c r="G21" i="23"/>
  <c r="H7" i="23"/>
  <c r="H43" i="23" s="1"/>
  <c r="J7" i="23"/>
  <c r="G13" i="21"/>
  <c r="I13" i="21"/>
  <c r="I27" i="22"/>
  <c r="G27" i="22"/>
  <c r="G28" i="22"/>
  <c r="I28" i="22"/>
  <c r="I11" i="21"/>
  <c r="G11" i="21"/>
  <c r="G7" i="21"/>
  <c r="I7" i="21"/>
  <c r="G27" i="23"/>
  <c r="I27" i="23"/>
  <c r="G28" i="23"/>
  <c r="I28" i="23"/>
  <c r="G22" i="22"/>
  <c r="I22" i="22"/>
  <c r="G11" i="23"/>
  <c r="I11" i="23"/>
  <c r="J7" i="21"/>
  <c r="H7" i="21"/>
  <c r="H43" i="21" s="1"/>
  <c r="G13" i="22"/>
  <c r="I13" i="22"/>
  <c r="I27" i="21"/>
  <c r="G27" i="21"/>
  <c r="G11" i="22"/>
  <c r="I11" i="22"/>
  <c r="G13" i="23"/>
  <c r="I13" i="23"/>
  <c r="B11" i="19"/>
  <c r="L12" i="19"/>
  <c r="H12" i="19"/>
  <c r="I12" i="19"/>
  <c r="M12" i="19"/>
  <c r="J12" i="19"/>
  <c r="N12" i="19"/>
  <c r="G12" i="19"/>
  <c r="D12" i="19"/>
  <c r="K12" i="19"/>
  <c r="E12" i="19"/>
  <c r="C12" i="19"/>
  <c r="F12" i="19"/>
  <c r="G22" i="15"/>
  <c r="H7" i="15"/>
  <c r="H43" i="15" s="1"/>
  <c r="J7" i="15"/>
  <c r="G21" i="15"/>
  <c r="G11" i="15"/>
  <c r="O12" i="19"/>
  <c r="G7" i="15"/>
  <c r="I7" i="15"/>
  <c r="G13" i="15"/>
  <c r="C51" i="15"/>
  <c r="C60" i="15" s="1"/>
  <c r="G27" i="15"/>
  <c r="L9" i="19"/>
  <c r="H9" i="19"/>
  <c r="I9" i="19"/>
  <c r="M9" i="19"/>
  <c r="J9" i="19"/>
  <c r="N9" i="19"/>
  <c r="G9" i="19"/>
  <c r="D9" i="19"/>
  <c r="K9" i="19"/>
  <c r="E9" i="19"/>
  <c r="C9" i="19"/>
  <c r="F9" i="19"/>
  <c r="H11" i="19"/>
  <c r="L11" i="19"/>
  <c r="C11" i="19"/>
  <c r="G11" i="19"/>
  <c r="K11" i="19"/>
  <c r="F11" i="19"/>
  <c r="E11" i="19"/>
  <c r="N11" i="19"/>
  <c r="M11" i="19"/>
  <c r="I11" i="19"/>
  <c r="D11" i="19"/>
  <c r="J11" i="19"/>
  <c r="G28" i="15"/>
  <c r="I43" i="21" l="1"/>
  <c r="G43" i="23"/>
  <c r="G43" i="21"/>
  <c r="I43" i="23"/>
  <c r="J43" i="23"/>
  <c r="I43" i="22"/>
  <c r="J43" i="21"/>
  <c r="G43" i="22"/>
  <c r="C64" i="15"/>
  <c r="D60" i="15"/>
  <c r="F10" i="19"/>
  <c r="I14" i="18" s="1"/>
  <c r="C59" i="15"/>
  <c r="I43" i="18"/>
  <c r="D41" i="15"/>
  <c r="I23" i="18"/>
  <c r="D21" i="15"/>
  <c r="I25" i="18"/>
  <c r="D23" i="15"/>
  <c r="O11" i="19"/>
  <c r="I21" i="18"/>
  <c r="D19" i="15"/>
  <c r="C10" i="19"/>
  <c r="I10" i="19"/>
  <c r="I35" i="18"/>
  <c r="D33" i="15"/>
  <c r="I29" i="18"/>
  <c r="D27" i="15"/>
  <c r="I33" i="18"/>
  <c r="D31" i="15"/>
  <c r="I39" i="18"/>
  <c r="D37" i="15"/>
  <c r="D13" i="15"/>
  <c r="I27" i="18"/>
  <c r="D25" i="15"/>
  <c r="I41" i="18"/>
  <c r="D39" i="15"/>
  <c r="I37" i="18"/>
  <c r="D35" i="15"/>
  <c r="I31" i="18"/>
  <c r="D29" i="15"/>
  <c r="L10" i="19"/>
  <c r="G43" i="15"/>
  <c r="C63" i="15" l="1"/>
  <c r="C67" i="15" s="1"/>
  <c r="D59" i="15"/>
  <c r="L37" i="18"/>
  <c r="L33" i="18"/>
  <c r="L35" i="18"/>
  <c r="L21" i="18"/>
  <c r="D22" i="15"/>
  <c r="J21" i="15"/>
  <c r="I21" i="15"/>
  <c r="D30" i="15"/>
  <c r="J29" i="15"/>
  <c r="I29" i="15"/>
  <c r="I39" i="15"/>
  <c r="D40" i="15"/>
  <c r="J39" i="15"/>
  <c r="I13" i="15"/>
  <c r="D14" i="15"/>
  <c r="J13" i="15"/>
  <c r="I37" i="15"/>
  <c r="J37" i="15"/>
  <c r="D38" i="15"/>
  <c r="J27" i="15"/>
  <c r="D28" i="15"/>
  <c r="I27" i="15"/>
  <c r="I16" i="18"/>
  <c r="D15" i="15"/>
  <c r="L23" i="18"/>
  <c r="I18" i="18"/>
  <c r="D17" i="15"/>
  <c r="L31" i="18"/>
  <c r="L14" i="18"/>
  <c r="L29" i="18"/>
  <c r="I12" i="18"/>
  <c r="D11" i="15"/>
  <c r="J23" i="15"/>
  <c r="D24" i="15"/>
  <c r="I23" i="15"/>
  <c r="I41" i="15"/>
  <c r="D42" i="15"/>
  <c r="J41" i="15"/>
  <c r="L27" i="18"/>
  <c r="L41" i="18"/>
  <c r="L39" i="18"/>
  <c r="J35" i="15"/>
  <c r="D36" i="15"/>
  <c r="I35" i="15"/>
  <c r="D26" i="15"/>
  <c r="J25" i="15"/>
  <c r="I25" i="15"/>
  <c r="D32" i="15"/>
  <c r="J31" i="15"/>
  <c r="I31" i="15"/>
  <c r="J33" i="15"/>
  <c r="D34" i="15"/>
  <c r="I33" i="15"/>
  <c r="I19" i="15"/>
  <c r="J19" i="15"/>
  <c r="D20" i="15"/>
  <c r="L25" i="18"/>
  <c r="L43" i="18"/>
  <c r="J11" i="15" l="1"/>
  <c r="D12" i="15"/>
  <c r="I11" i="15"/>
  <c r="I15" i="15"/>
  <c r="J15" i="15"/>
  <c r="D16" i="15"/>
  <c r="I40" i="15"/>
  <c r="J40" i="15"/>
  <c r="J30" i="15"/>
  <c r="I30" i="15"/>
  <c r="I26" i="15"/>
  <c r="J26" i="15"/>
  <c r="L12" i="18"/>
  <c r="L16" i="18"/>
  <c r="I38" i="15"/>
  <c r="J38" i="15"/>
  <c r="I14" i="15"/>
  <c r="J14" i="15"/>
  <c r="I20" i="15"/>
  <c r="J20" i="15"/>
  <c r="I24" i="15"/>
  <c r="J24" i="15"/>
  <c r="L18" i="18"/>
  <c r="J34" i="15"/>
  <c r="I34" i="15"/>
  <c r="I32" i="15"/>
  <c r="J32" i="15"/>
  <c r="J36" i="15"/>
  <c r="I36" i="15"/>
  <c r="J42" i="15"/>
  <c r="I42" i="15"/>
  <c r="I17" i="15"/>
  <c r="J17" i="15"/>
  <c r="D18" i="15"/>
  <c r="I28" i="15"/>
  <c r="J28" i="15"/>
  <c r="I22" i="15"/>
  <c r="J22" i="15"/>
  <c r="I18" i="15" l="1"/>
  <c r="J18" i="15"/>
  <c r="I16" i="15"/>
  <c r="J16" i="15"/>
  <c r="I12" i="15"/>
  <c r="J12" i="15"/>
  <c r="L44" i="18"/>
  <c r="E63" i="15" l="1"/>
  <c r="E62" i="15"/>
  <c r="J43" i="15"/>
  <c r="L7" i="15" s="1"/>
  <c r="I43" i="15"/>
  <c r="K7" i="15" s="1"/>
  <c r="M4" i="18" l="1"/>
  <c r="B12" i="30"/>
  <c r="C3" i="30" s="1"/>
  <c r="D3" i="30" s="1"/>
  <c r="L36" i="15"/>
  <c r="N36" i="15" s="1"/>
  <c r="B13" i="30"/>
  <c r="C4" i="30" s="1"/>
  <c r="D4" i="30" s="1"/>
  <c r="L26" i="15"/>
  <c r="N26" i="15" s="1"/>
  <c r="L32" i="15"/>
  <c r="N32" i="15" s="1"/>
  <c r="N7" i="15"/>
  <c r="L40" i="15"/>
  <c r="N40" i="15" s="1"/>
  <c r="L23" i="15"/>
  <c r="N23" i="15" s="1"/>
  <c r="L16" i="15"/>
  <c r="N16" i="15" s="1"/>
  <c r="K37" i="15"/>
  <c r="M37" i="15" s="1"/>
  <c r="K12" i="15"/>
  <c r="M12" i="15" s="1"/>
  <c r="K8" i="15"/>
  <c r="M8" i="15" s="1"/>
  <c r="K29" i="15"/>
  <c r="M29" i="15" s="1"/>
  <c r="K13" i="15"/>
  <c r="M13" i="15" s="1"/>
  <c r="K16" i="15"/>
  <c r="M16" i="15" s="1"/>
  <c r="K38" i="15"/>
  <c r="M38" i="15" s="1"/>
  <c r="K23" i="15"/>
  <c r="M23" i="15" s="1"/>
  <c r="K26" i="15"/>
  <c r="M26" i="15" s="1"/>
  <c r="K36" i="15"/>
  <c r="M36" i="15" s="1"/>
  <c r="K30" i="15"/>
  <c r="M30" i="15" s="1"/>
  <c r="M7" i="15"/>
  <c r="K21" i="15"/>
  <c r="M21" i="15" s="1"/>
  <c r="K27" i="15"/>
  <c r="M27" i="15" s="1"/>
  <c r="K18" i="15"/>
  <c r="M18" i="15" s="1"/>
  <c r="K40" i="15"/>
  <c r="M40" i="15" s="1"/>
  <c r="K19" i="15"/>
  <c r="M19" i="15" s="1"/>
  <c r="K22" i="15"/>
  <c r="M22" i="15" s="1"/>
  <c r="K34" i="15"/>
  <c r="M34" i="15" s="1"/>
  <c r="K35" i="15"/>
  <c r="M35" i="15" s="1"/>
  <c r="K24" i="15"/>
  <c r="M24" i="15" s="1"/>
  <c r="L13" i="15"/>
  <c r="N13" i="15" s="1"/>
  <c r="L34" i="15"/>
  <c r="N34" i="15" s="1"/>
  <c r="K32" i="15"/>
  <c r="M32" i="15" s="1"/>
  <c r="K15" i="15"/>
  <c r="M15" i="15" s="1"/>
  <c r="K14" i="15"/>
  <c r="M14" i="15" s="1"/>
  <c r="K28" i="15"/>
  <c r="M28" i="15" s="1"/>
  <c r="K42" i="15"/>
  <c r="M42" i="15" s="1"/>
  <c r="L27" i="15"/>
  <c r="N27" i="15" s="1"/>
  <c r="L38" i="15"/>
  <c r="N38" i="15" s="1"/>
  <c r="N4" i="18"/>
  <c r="N32" i="18" s="1"/>
  <c r="P32" i="18" s="1"/>
  <c r="K31" i="15"/>
  <c r="M31" i="15" s="1"/>
  <c r="K25" i="15"/>
  <c r="M25" i="15" s="1"/>
  <c r="K11" i="15"/>
  <c r="M11" i="15" s="1"/>
  <c r="K41" i="15"/>
  <c r="M41" i="15" s="1"/>
  <c r="K17" i="15"/>
  <c r="M17" i="15" s="1"/>
  <c r="K39" i="15"/>
  <c r="M39" i="15" s="1"/>
  <c r="K20" i="15"/>
  <c r="M20" i="15" s="1"/>
  <c r="K33" i="15"/>
  <c r="M33" i="15" s="1"/>
  <c r="L12" i="15"/>
  <c r="N12" i="15" s="1"/>
  <c r="L25" i="15"/>
  <c r="N25" i="15" s="1"/>
  <c r="L24" i="15"/>
  <c r="N24" i="15" s="1"/>
  <c r="L35" i="15"/>
  <c r="N35" i="15" s="1"/>
  <c r="L30" i="15"/>
  <c r="N30" i="15" s="1"/>
  <c r="L37" i="15"/>
  <c r="N37" i="15" s="1"/>
  <c r="L18" i="15"/>
  <c r="N18" i="15" s="1"/>
  <c r="L42" i="15"/>
  <c r="N42" i="15" s="1"/>
  <c r="L15" i="15"/>
  <c r="N15" i="15" s="1"/>
  <c r="L29" i="15"/>
  <c r="N29" i="15" s="1"/>
  <c r="L11" i="15"/>
  <c r="N11" i="15" s="1"/>
  <c r="L19" i="15"/>
  <c r="N19" i="15" s="1"/>
  <c r="L39" i="15"/>
  <c r="N39" i="15" s="1"/>
  <c r="L17" i="15"/>
  <c r="N17" i="15" s="1"/>
  <c r="L31" i="15"/>
  <c r="N31" i="15" s="1"/>
  <c r="L20" i="15"/>
  <c r="N20" i="15" s="1"/>
  <c r="L28" i="15"/>
  <c r="N28" i="15" s="1"/>
  <c r="L33" i="15"/>
  <c r="N33" i="15" s="1"/>
  <c r="L9" i="15"/>
  <c r="N9" i="15" s="1"/>
  <c r="L14" i="15"/>
  <c r="N14" i="15" s="1"/>
  <c r="L22" i="15"/>
  <c r="N22" i="15" s="1"/>
  <c r="L41" i="15"/>
  <c r="N41" i="15" s="1"/>
  <c r="L21" i="15"/>
  <c r="N21" i="15" s="1"/>
  <c r="M42" i="18"/>
  <c r="O42" i="18" s="1"/>
  <c r="M34" i="18"/>
  <c r="O34" i="18" s="1"/>
  <c r="M26" i="18"/>
  <c r="O26" i="18" s="1"/>
  <c r="M19" i="18"/>
  <c r="O19" i="18" s="1"/>
  <c r="M11" i="18"/>
  <c r="O11" i="18" s="1"/>
  <c r="M40" i="18"/>
  <c r="O40" i="18" s="1"/>
  <c r="M32" i="18"/>
  <c r="O32" i="18" s="1"/>
  <c r="M24" i="18"/>
  <c r="O24" i="18" s="1"/>
  <c r="M17" i="18"/>
  <c r="O17" i="18" s="1"/>
  <c r="M10" i="18"/>
  <c r="O10" i="18" s="1"/>
  <c r="M38" i="18"/>
  <c r="O38" i="18" s="1"/>
  <c r="M30" i="18"/>
  <c r="O30" i="18" s="1"/>
  <c r="M22" i="18"/>
  <c r="O22" i="18" s="1"/>
  <c r="M15" i="18"/>
  <c r="O15" i="18" s="1"/>
  <c r="M9" i="18"/>
  <c r="O9" i="18" s="1"/>
  <c r="M36" i="18"/>
  <c r="O36" i="18" s="1"/>
  <c r="M20" i="18"/>
  <c r="O20" i="18" s="1"/>
  <c r="M28" i="18"/>
  <c r="O28" i="18" s="1"/>
  <c r="M13" i="18"/>
  <c r="O13" i="18" s="1"/>
  <c r="M33" i="18"/>
  <c r="O33" i="18" s="1"/>
  <c r="M39" i="18"/>
  <c r="O39" i="18" s="1"/>
  <c r="M43" i="18"/>
  <c r="O43" i="18" s="1"/>
  <c r="M25" i="18"/>
  <c r="O25" i="18" s="1"/>
  <c r="M23" i="18"/>
  <c r="O23" i="18" s="1"/>
  <c r="M29" i="18"/>
  <c r="O29" i="18" s="1"/>
  <c r="M37" i="18"/>
  <c r="O37" i="18" s="1"/>
  <c r="M35" i="18"/>
  <c r="O35" i="18" s="1"/>
  <c r="M31" i="18"/>
  <c r="O31" i="18" s="1"/>
  <c r="M14" i="18"/>
  <c r="O14" i="18" s="1"/>
  <c r="M27" i="18"/>
  <c r="O27" i="18" s="1"/>
  <c r="M41" i="18"/>
  <c r="O41" i="18" s="1"/>
  <c r="M21" i="18"/>
  <c r="O21" i="18" s="1"/>
  <c r="M16" i="18"/>
  <c r="O16" i="18" s="1"/>
  <c r="M18" i="18"/>
  <c r="O18" i="18" s="1"/>
  <c r="M12" i="18"/>
  <c r="O12" i="18" s="1"/>
  <c r="N40" i="18"/>
  <c r="P40" i="18" s="1"/>
  <c r="N10" i="18"/>
  <c r="P10" i="18" s="1"/>
  <c r="N15" i="18"/>
  <c r="P15" i="18" s="1"/>
  <c r="N20" i="18"/>
  <c r="P20" i="18" s="1"/>
  <c r="N11" i="18"/>
  <c r="P11" i="18" s="1"/>
  <c r="N29" i="18"/>
  <c r="P29" i="18" s="1"/>
  <c r="N31" i="18"/>
  <c r="P31" i="18" s="1"/>
  <c r="N25" i="18"/>
  <c r="P25" i="18" s="1"/>
  <c r="N18" i="18"/>
  <c r="P18" i="18" s="1"/>
  <c r="N35" i="18" l="1"/>
  <c r="P35" i="18" s="1"/>
  <c r="N21" i="18"/>
  <c r="P21" i="18" s="1"/>
  <c r="N37" i="18"/>
  <c r="P37" i="18" s="1"/>
  <c r="N23" i="18"/>
  <c r="P23" i="18" s="1"/>
  <c r="N26" i="18"/>
  <c r="P26" i="18" s="1"/>
  <c r="N28" i="18"/>
  <c r="P28" i="18" s="1"/>
  <c r="N22" i="18"/>
  <c r="P22" i="18" s="1"/>
  <c r="N17" i="18"/>
  <c r="P17" i="18" s="1"/>
  <c r="M43" i="15"/>
  <c r="M46" i="15" s="1"/>
  <c r="N12" i="18"/>
  <c r="P12" i="18" s="1"/>
  <c r="N41" i="18"/>
  <c r="P41" i="18" s="1"/>
  <c r="N19" i="18"/>
  <c r="P19" i="18" s="1"/>
  <c r="N30" i="18"/>
  <c r="P30" i="18" s="1"/>
  <c r="N33" i="18"/>
  <c r="P33" i="18" s="1"/>
  <c r="N27" i="18"/>
  <c r="P27" i="18" s="1"/>
  <c r="N42" i="18"/>
  <c r="P42" i="18" s="1"/>
  <c r="N36" i="18"/>
  <c r="P36" i="18" s="1"/>
  <c r="N24" i="18"/>
  <c r="P24" i="18" s="1"/>
  <c r="N16" i="18"/>
  <c r="P16" i="18" s="1"/>
  <c r="N43" i="18"/>
  <c r="P43" i="18" s="1"/>
  <c r="N14" i="18"/>
  <c r="P14" i="18" s="1"/>
  <c r="N39" i="18"/>
  <c r="P39" i="18" s="1"/>
  <c r="N34" i="18"/>
  <c r="P34" i="18" s="1"/>
  <c r="N13" i="18"/>
  <c r="P13" i="18" s="1"/>
  <c r="N9" i="18"/>
  <c r="P9" i="18" s="1"/>
  <c r="N38" i="18"/>
  <c r="P38" i="18" s="1"/>
  <c r="N43" i="15"/>
  <c r="N46" i="15" s="1"/>
  <c r="O44" i="18"/>
  <c r="P44" i="18" l="1"/>
  <c r="C58" i="15" l="1"/>
  <c r="D58" i="15" s="1"/>
  <c r="C62" i="15" l="1"/>
  <c r="C57" i="15"/>
  <c r="D57" i="15" s="1"/>
  <c r="C61" i="15" l="1"/>
  <c r="C66" i="15" s="1"/>
  <c r="E57" i="15"/>
  <c r="C2" i="22"/>
  <c r="C2" i="23"/>
  <c r="C2" i="21"/>
  <c r="C2" i="27"/>
  <c r="C3" i="22" l="1"/>
  <c r="C53" i="22"/>
  <c r="C54" i="27"/>
  <c r="C3" i="27"/>
  <c r="C54" i="21"/>
  <c r="C3" i="21"/>
  <c r="C3" i="23"/>
  <c r="C48" i="23"/>
  <c r="C51" i="23" s="1"/>
  <c r="C48" i="27" l="1"/>
  <c r="C51" i="27" s="1"/>
  <c r="F3" i="27"/>
  <c r="L7" i="27" s="1"/>
  <c r="E3" i="27"/>
  <c r="K7" i="27" s="1"/>
  <c r="F3" i="22"/>
  <c r="L7" i="22" s="1"/>
  <c r="E3" i="22"/>
  <c r="K7" i="22" s="1"/>
  <c r="E3" i="23"/>
  <c r="K7" i="23" s="1"/>
  <c r="F3" i="23"/>
  <c r="L7" i="23" s="1"/>
  <c r="C48" i="21"/>
  <c r="C51" i="21" s="1"/>
  <c r="E3" i="21"/>
  <c r="K7" i="21" s="1"/>
  <c r="F3" i="21"/>
  <c r="L7" i="21" s="1"/>
  <c r="C47" i="22"/>
  <c r="C50" i="22" s="1"/>
  <c r="E12" i="30" l="1"/>
  <c r="K30" i="21"/>
  <c r="M30" i="21" s="1"/>
  <c r="K40" i="21"/>
  <c r="M40" i="21" s="1"/>
  <c r="K38" i="21"/>
  <c r="M38" i="21" s="1"/>
  <c r="K33" i="21"/>
  <c r="M33" i="21" s="1"/>
  <c r="M7" i="21"/>
  <c r="K27" i="21"/>
  <c r="M27" i="21" s="1"/>
  <c r="K18" i="21"/>
  <c r="M18" i="21" s="1"/>
  <c r="K19" i="21"/>
  <c r="M19" i="21" s="1"/>
  <c r="K16" i="21"/>
  <c r="M16" i="21" s="1"/>
  <c r="K37" i="21"/>
  <c r="M37" i="21" s="1"/>
  <c r="K24" i="21"/>
  <c r="M24" i="21" s="1"/>
  <c r="K26" i="21"/>
  <c r="M26" i="21" s="1"/>
  <c r="K20" i="21"/>
  <c r="M20" i="21" s="1"/>
  <c r="K35" i="21"/>
  <c r="M35" i="21" s="1"/>
  <c r="K36" i="21"/>
  <c r="M36" i="21" s="1"/>
  <c r="K32" i="21"/>
  <c r="M32" i="21" s="1"/>
  <c r="K21" i="21"/>
  <c r="M21" i="21" s="1"/>
  <c r="K14" i="21"/>
  <c r="M14" i="21" s="1"/>
  <c r="K41" i="21"/>
  <c r="M41" i="21" s="1"/>
  <c r="K39" i="21"/>
  <c r="M39" i="21" s="1"/>
  <c r="K31" i="21"/>
  <c r="M31" i="21" s="1"/>
  <c r="K8" i="21"/>
  <c r="M8" i="21" s="1"/>
  <c r="K42" i="21"/>
  <c r="M42" i="21" s="1"/>
  <c r="K22" i="21"/>
  <c r="M22" i="21" s="1"/>
  <c r="K23" i="21"/>
  <c r="M23" i="21" s="1"/>
  <c r="K17" i="21"/>
  <c r="M17" i="21" s="1"/>
  <c r="K29" i="21"/>
  <c r="M29" i="21" s="1"/>
  <c r="K34" i="21"/>
  <c r="M34" i="21" s="1"/>
  <c r="K15" i="21"/>
  <c r="M15" i="21" s="1"/>
  <c r="K11" i="21"/>
  <c r="M11" i="21" s="1"/>
  <c r="K13" i="21"/>
  <c r="M13" i="21" s="1"/>
  <c r="K28" i="21"/>
  <c r="M28" i="21" s="1"/>
  <c r="K12" i="21"/>
  <c r="M12" i="21" s="1"/>
  <c r="K25" i="21"/>
  <c r="M25" i="21" s="1"/>
  <c r="C12" i="30"/>
  <c r="K28" i="22"/>
  <c r="M28" i="22" s="1"/>
  <c r="K27" i="22"/>
  <c r="M27" i="22" s="1"/>
  <c r="K33" i="22"/>
  <c r="M33" i="22" s="1"/>
  <c r="K35" i="22"/>
  <c r="M35" i="22" s="1"/>
  <c r="K40" i="22"/>
  <c r="M40" i="22" s="1"/>
  <c r="K37" i="22"/>
  <c r="M37" i="22" s="1"/>
  <c r="K18" i="22"/>
  <c r="M18" i="22" s="1"/>
  <c r="K23" i="22"/>
  <c r="M23" i="22" s="1"/>
  <c r="K22" i="22"/>
  <c r="M22" i="22" s="1"/>
  <c r="K39" i="22"/>
  <c r="M39" i="22" s="1"/>
  <c r="K38" i="22"/>
  <c r="M38" i="22" s="1"/>
  <c r="K20" i="22"/>
  <c r="M20" i="22" s="1"/>
  <c r="K29" i="22"/>
  <c r="M29" i="22" s="1"/>
  <c r="K16" i="22"/>
  <c r="M16" i="22" s="1"/>
  <c r="K25" i="22"/>
  <c r="M25" i="22" s="1"/>
  <c r="K41" i="22"/>
  <c r="M41" i="22" s="1"/>
  <c r="K12" i="22"/>
  <c r="M12" i="22" s="1"/>
  <c r="K19" i="22"/>
  <c r="M19" i="22" s="1"/>
  <c r="K24" i="22"/>
  <c r="M24" i="22" s="1"/>
  <c r="K36" i="22"/>
  <c r="M36" i="22" s="1"/>
  <c r="K21" i="22"/>
  <c r="M21" i="22" s="1"/>
  <c r="K15" i="22"/>
  <c r="M15" i="22" s="1"/>
  <c r="K42" i="22"/>
  <c r="M42" i="22" s="1"/>
  <c r="K31" i="22"/>
  <c r="M31" i="22" s="1"/>
  <c r="K8" i="22"/>
  <c r="M8" i="22" s="1"/>
  <c r="M7" i="22"/>
  <c r="K14" i="22"/>
  <c r="M14" i="22" s="1"/>
  <c r="K17" i="22"/>
  <c r="M17" i="22" s="1"/>
  <c r="K34" i="22"/>
  <c r="M34" i="22" s="1"/>
  <c r="K11" i="22"/>
  <c r="M11" i="22" s="1"/>
  <c r="K13" i="22"/>
  <c r="M13" i="22" s="1"/>
  <c r="K30" i="22"/>
  <c r="M30" i="22" s="1"/>
  <c r="K26" i="22"/>
  <c r="M26" i="22" s="1"/>
  <c r="K32" i="22"/>
  <c r="M32" i="22" s="1"/>
  <c r="C13" i="30"/>
  <c r="L34" i="22"/>
  <c r="N34" i="22" s="1"/>
  <c r="L27" i="22"/>
  <c r="N27" i="22" s="1"/>
  <c r="L40" i="22"/>
  <c r="N40" i="22" s="1"/>
  <c r="L33" i="22"/>
  <c r="N33" i="22" s="1"/>
  <c r="L19" i="22"/>
  <c r="N19" i="22" s="1"/>
  <c r="L14" i="22"/>
  <c r="N14" i="22" s="1"/>
  <c r="L35" i="22"/>
  <c r="N35" i="22" s="1"/>
  <c r="L9" i="22"/>
  <c r="N9" i="22" s="1"/>
  <c r="L30" i="22"/>
  <c r="N30" i="22" s="1"/>
  <c r="L39" i="22"/>
  <c r="N39" i="22" s="1"/>
  <c r="L42" i="22"/>
  <c r="N42" i="22" s="1"/>
  <c r="L23" i="22"/>
  <c r="N23" i="22" s="1"/>
  <c r="L11" i="22"/>
  <c r="N11" i="22" s="1"/>
  <c r="L12" i="22"/>
  <c r="N12" i="22" s="1"/>
  <c r="L36" i="22"/>
  <c r="N36" i="22" s="1"/>
  <c r="L28" i="22"/>
  <c r="N28" i="22" s="1"/>
  <c r="L38" i="22"/>
  <c r="N38" i="22" s="1"/>
  <c r="L32" i="22"/>
  <c r="N32" i="22" s="1"/>
  <c r="L26" i="22"/>
  <c r="N26" i="22" s="1"/>
  <c r="L22" i="22"/>
  <c r="N22" i="22" s="1"/>
  <c r="L16" i="22"/>
  <c r="N16" i="22" s="1"/>
  <c r="L20" i="22"/>
  <c r="N20" i="22" s="1"/>
  <c r="L21" i="22"/>
  <c r="N21" i="22" s="1"/>
  <c r="L13" i="22"/>
  <c r="N13" i="22" s="1"/>
  <c r="L15" i="22"/>
  <c r="N15" i="22" s="1"/>
  <c r="L31" i="22"/>
  <c r="N31" i="22" s="1"/>
  <c r="L24" i="22"/>
  <c r="N24" i="22" s="1"/>
  <c r="L29" i="22"/>
  <c r="N29" i="22" s="1"/>
  <c r="L25" i="22"/>
  <c r="N25" i="22" s="1"/>
  <c r="N7" i="22"/>
  <c r="L41" i="22"/>
  <c r="N41" i="22" s="1"/>
  <c r="L18" i="22"/>
  <c r="N18" i="22" s="1"/>
  <c r="L17" i="22"/>
  <c r="N17" i="22" s="1"/>
  <c r="L37" i="22"/>
  <c r="N37" i="22" s="1"/>
  <c r="N7" i="23"/>
  <c r="D13" i="30"/>
  <c r="L17" i="23"/>
  <c r="N17" i="23" s="1"/>
  <c r="L27" i="23"/>
  <c r="N27" i="23" s="1"/>
  <c r="L15" i="23"/>
  <c r="N15" i="23" s="1"/>
  <c r="L26" i="23"/>
  <c r="N26" i="23" s="1"/>
  <c r="L12" i="23"/>
  <c r="N12" i="23" s="1"/>
  <c r="L19" i="23"/>
  <c r="N19" i="23" s="1"/>
  <c r="L21" i="23"/>
  <c r="N21" i="23" s="1"/>
  <c r="L32" i="23"/>
  <c r="N32" i="23" s="1"/>
  <c r="L39" i="23"/>
  <c r="N39" i="23" s="1"/>
  <c r="L35" i="23"/>
  <c r="N35" i="23" s="1"/>
  <c r="L37" i="23"/>
  <c r="N37" i="23" s="1"/>
  <c r="L22" i="23"/>
  <c r="N22" i="23" s="1"/>
  <c r="L34" i="23"/>
  <c r="N34" i="23" s="1"/>
  <c r="L14" i="23"/>
  <c r="N14" i="23" s="1"/>
  <c r="L41" i="23"/>
  <c r="N41" i="23" s="1"/>
  <c r="L11" i="23"/>
  <c r="N11" i="23" s="1"/>
  <c r="L33" i="23"/>
  <c r="N33" i="23" s="1"/>
  <c r="L40" i="23"/>
  <c r="N40" i="23" s="1"/>
  <c r="L28" i="23"/>
  <c r="N28" i="23" s="1"/>
  <c r="L30" i="23"/>
  <c r="N30" i="23" s="1"/>
  <c r="L24" i="23"/>
  <c r="N24" i="23" s="1"/>
  <c r="L18" i="23"/>
  <c r="N18" i="23" s="1"/>
  <c r="L38" i="23"/>
  <c r="N38" i="23" s="1"/>
  <c r="L9" i="23"/>
  <c r="N9" i="23" s="1"/>
  <c r="L31" i="23"/>
  <c r="N31" i="23" s="1"/>
  <c r="L16" i="23"/>
  <c r="N16" i="23" s="1"/>
  <c r="L29" i="23"/>
  <c r="N29" i="23" s="1"/>
  <c r="L13" i="23"/>
  <c r="N13" i="23" s="1"/>
  <c r="L25" i="23"/>
  <c r="N25" i="23" s="1"/>
  <c r="L42" i="23"/>
  <c r="N42" i="23" s="1"/>
  <c r="L36" i="23"/>
  <c r="N36" i="23" s="1"/>
  <c r="L23" i="23"/>
  <c r="N23" i="23" s="1"/>
  <c r="L20" i="23"/>
  <c r="N20" i="23" s="1"/>
  <c r="F12" i="30"/>
  <c r="K38" i="27"/>
  <c r="M38" i="27" s="1"/>
  <c r="K24" i="27"/>
  <c r="M24" i="27" s="1"/>
  <c r="K14" i="27"/>
  <c r="M14" i="27" s="1"/>
  <c r="K41" i="27"/>
  <c r="M41" i="27" s="1"/>
  <c r="K26" i="27"/>
  <c r="M26" i="27" s="1"/>
  <c r="K17" i="27"/>
  <c r="M17" i="27" s="1"/>
  <c r="K13" i="27"/>
  <c r="M13" i="27" s="1"/>
  <c r="K12" i="27"/>
  <c r="M12" i="27" s="1"/>
  <c r="K33" i="27"/>
  <c r="M33" i="27" s="1"/>
  <c r="K36" i="27"/>
  <c r="M36" i="27" s="1"/>
  <c r="K39" i="27"/>
  <c r="M39" i="27" s="1"/>
  <c r="K11" i="27"/>
  <c r="M11" i="27" s="1"/>
  <c r="K19" i="27"/>
  <c r="M19" i="27" s="1"/>
  <c r="K40" i="27"/>
  <c r="M40" i="27" s="1"/>
  <c r="K29" i="27"/>
  <c r="M29" i="27" s="1"/>
  <c r="K15" i="27"/>
  <c r="M15" i="27" s="1"/>
  <c r="M7" i="27"/>
  <c r="K20" i="27"/>
  <c r="M20" i="27" s="1"/>
  <c r="K32" i="27"/>
  <c r="M32" i="27" s="1"/>
  <c r="K35" i="27"/>
  <c r="M35" i="27" s="1"/>
  <c r="K16" i="27"/>
  <c r="M16" i="27" s="1"/>
  <c r="K23" i="27"/>
  <c r="M23" i="27" s="1"/>
  <c r="K42" i="27"/>
  <c r="M42" i="27" s="1"/>
  <c r="K30" i="27"/>
  <c r="M30" i="27" s="1"/>
  <c r="K18" i="27"/>
  <c r="M18" i="27" s="1"/>
  <c r="K31" i="27"/>
  <c r="M31" i="27" s="1"/>
  <c r="K37" i="27"/>
  <c r="M37" i="27" s="1"/>
  <c r="K25" i="27"/>
  <c r="M25" i="27" s="1"/>
  <c r="K27" i="27"/>
  <c r="M27" i="27" s="1"/>
  <c r="K22" i="27"/>
  <c r="M22" i="27" s="1"/>
  <c r="K8" i="27"/>
  <c r="M8" i="27" s="1"/>
  <c r="K28" i="27"/>
  <c r="M28" i="27" s="1"/>
  <c r="K34" i="27"/>
  <c r="M34" i="27" s="1"/>
  <c r="K21" i="27"/>
  <c r="M21" i="27" s="1"/>
  <c r="N7" i="21"/>
  <c r="E13" i="30"/>
  <c r="L25" i="21"/>
  <c r="N25" i="21" s="1"/>
  <c r="L34" i="21"/>
  <c r="N34" i="21" s="1"/>
  <c r="L21" i="21"/>
  <c r="N21" i="21" s="1"/>
  <c r="L24" i="21"/>
  <c r="N24" i="21" s="1"/>
  <c r="L39" i="21"/>
  <c r="N39" i="21" s="1"/>
  <c r="L11" i="21"/>
  <c r="N11" i="21" s="1"/>
  <c r="L23" i="21"/>
  <c r="N23" i="21" s="1"/>
  <c r="L20" i="21"/>
  <c r="N20" i="21" s="1"/>
  <c r="L12" i="21"/>
  <c r="N12" i="21" s="1"/>
  <c r="L41" i="21"/>
  <c r="N41" i="21" s="1"/>
  <c r="L35" i="21"/>
  <c r="N35" i="21" s="1"/>
  <c r="L9" i="21"/>
  <c r="N9" i="21" s="1"/>
  <c r="L31" i="21"/>
  <c r="N31" i="21" s="1"/>
  <c r="L32" i="21"/>
  <c r="N32" i="21" s="1"/>
  <c r="L29" i="21"/>
  <c r="N29" i="21" s="1"/>
  <c r="L33" i="21"/>
  <c r="N33" i="21" s="1"/>
  <c r="L38" i="21"/>
  <c r="N38" i="21" s="1"/>
  <c r="L26" i="21"/>
  <c r="N26" i="21" s="1"/>
  <c r="L30" i="21"/>
  <c r="N30" i="21" s="1"/>
  <c r="L42" i="21"/>
  <c r="N42" i="21" s="1"/>
  <c r="L36" i="21"/>
  <c r="N36" i="21" s="1"/>
  <c r="L17" i="21"/>
  <c r="N17" i="21" s="1"/>
  <c r="L27" i="21"/>
  <c r="N27" i="21" s="1"/>
  <c r="L15" i="21"/>
  <c r="N15" i="21" s="1"/>
  <c r="L16" i="21"/>
  <c r="N16" i="21" s="1"/>
  <c r="L22" i="21"/>
  <c r="N22" i="21" s="1"/>
  <c r="L14" i="21"/>
  <c r="N14" i="21" s="1"/>
  <c r="L13" i="21"/>
  <c r="N13" i="21" s="1"/>
  <c r="L28" i="21"/>
  <c r="N28" i="21" s="1"/>
  <c r="L19" i="21"/>
  <c r="N19" i="21" s="1"/>
  <c r="L40" i="21"/>
  <c r="N40" i="21" s="1"/>
  <c r="L37" i="21"/>
  <c r="N37" i="21" s="1"/>
  <c r="L18" i="21"/>
  <c r="N18" i="21" s="1"/>
  <c r="D12" i="30"/>
  <c r="K33" i="23"/>
  <c r="M33" i="23" s="1"/>
  <c r="K42" i="23"/>
  <c r="M42" i="23" s="1"/>
  <c r="K35" i="23"/>
  <c r="M35" i="23" s="1"/>
  <c r="K29" i="23"/>
  <c r="M29" i="23" s="1"/>
  <c r="K41" i="23"/>
  <c r="M41" i="23" s="1"/>
  <c r="K20" i="23"/>
  <c r="M20" i="23" s="1"/>
  <c r="K21" i="23"/>
  <c r="M21" i="23" s="1"/>
  <c r="K30" i="23"/>
  <c r="M30" i="23" s="1"/>
  <c r="K34" i="23"/>
  <c r="M34" i="23" s="1"/>
  <c r="K40" i="23"/>
  <c r="M40" i="23" s="1"/>
  <c r="K22" i="23"/>
  <c r="M22" i="23" s="1"/>
  <c r="K38" i="23"/>
  <c r="M38" i="23" s="1"/>
  <c r="K39" i="23"/>
  <c r="M39" i="23" s="1"/>
  <c r="K36" i="23"/>
  <c r="M36" i="23" s="1"/>
  <c r="K12" i="23"/>
  <c r="M12" i="23" s="1"/>
  <c r="K24" i="23"/>
  <c r="M24" i="23" s="1"/>
  <c r="M7" i="23"/>
  <c r="K25" i="23"/>
  <c r="M25" i="23" s="1"/>
  <c r="K18" i="23"/>
  <c r="M18" i="23" s="1"/>
  <c r="K28" i="23"/>
  <c r="M28" i="23" s="1"/>
  <c r="K23" i="23"/>
  <c r="M23" i="23" s="1"/>
  <c r="K13" i="23"/>
  <c r="M13" i="23" s="1"/>
  <c r="K15" i="23"/>
  <c r="M15" i="23" s="1"/>
  <c r="K8" i="23"/>
  <c r="M8" i="23" s="1"/>
  <c r="K31" i="23"/>
  <c r="M31" i="23" s="1"/>
  <c r="K26" i="23"/>
  <c r="M26" i="23" s="1"/>
  <c r="K16" i="23"/>
  <c r="M16" i="23" s="1"/>
  <c r="K32" i="23"/>
  <c r="M32" i="23" s="1"/>
  <c r="K14" i="23"/>
  <c r="M14" i="23" s="1"/>
  <c r="K17" i="23"/>
  <c r="M17" i="23" s="1"/>
  <c r="K37" i="23"/>
  <c r="M37" i="23" s="1"/>
  <c r="K19" i="23"/>
  <c r="M19" i="23" s="1"/>
  <c r="K27" i="23"/>
  <c r="M27" i="23" s="1"/>
  <c r="K11" i="23"/>
  <c r="M11" i="23" s="1"/>
  <c r="F13" i="30"/>
  <c r="L36" i="27"/>
  <c r="N36" i="27" s="1"/>
  <c r="L21" i="27"/>
  <c r="N21" i="27" s="1"/>
  <c r="L41" i="27"/>
  <c r="N41" i="27" s="1"/>
  <c r="L26" i="27"/>
  <c r="N26" i="27" s="1"/>
  <c r="L23" i="27"/>
  <c r="N23" i="27" s="1"/>
  <c r="L9" i="27"/>
  <c r="N9" i="27" s="1"/>
  <c r="L22" i="27"/>
  <c r="N22" i="27" s="1"/>
  <c r="L40" i="27"/>
  <c r="N40" i="27" s="1"/>
  <c r="L24" i="27"/>
  <c r="N24" i="27" s="1"/>
  <c r="L19" i="27"/>
  <c r="N19" i="27" s="1"/>
  <c r="L13" i="27"/>
  <c r="N13" i="27" s="1"/>
  <c r="L31" i="27"/>
  <c r="N31" i="27" s="1"/>
  <c r="L17" i="27"/>
  <c r="N17" i="27" s="1"/>
  <c r="L39" i="27"/>
  <c r="N39" i="27" s="1"/>
  <c r="L35" i="27"/>
  <c r="N35" i="27" s="1"/>
  <c r="L30" i="27"/>
  <c r="N30" i="27" s="1"/>
  <c r="L18" i="27"/>
  <c r="N18" i="27" s="1"/>
  <c r="L14" i="27"/>
  <c r="N14" i="27" s="1"/>
  <c r="L20" i="27"/>
  <c r="N20" i="27" s="1"/>
  <c r="L29" i="27"/>
  <c r="N29" i="27" s="1"/>
  <c r="L15" i="27"/>
  <c r="N15" i="27" s="1"/>
  <c r="L37" i="27"/>
  <c r="N37" i="27" s="1"/>
  <c r="L32" i="27"/>
  <c r="N32" i="27" s="1"/>
  <c r="L16" i="27"/>
  <c r="N16" i="27" s="1"/>
  <c r="L42" i="27"/>
  <c r="N42" i="27" s="1"/>
  <c r="L38" i="27"/>
  <c r="N38" i="27" s="1"/>
  <c r="L11" i="27"/>
  <c r="N11" i="27" s="1"/>
  <c r="L25" i="27"/>
  <c r="N25" i="27" s="1"/>
  <c r="L12" i="27"/>
  <c r="N12" i="27" s="1"/>
  <c r="L34" i="27"/>
  <c r="N34" i="27" s="1"/>
  <c r="L27" i="27"/>
  <c r="N27" i="27" s="1"/>
  <c r="L28" i="27"/>
  <c r="N28" i="27" s="1"/>
  <c r="L33" i="27"/>
  <c r="N33" i="27" s="1"/>
  <c r="N7" i="27"/>
  <c r="N43" i="27" l="1"/>
  <c r="N46" i="27" s="1"/>
  <c r="M43" i="23"/>
  <c r="M46" i="23" s="1"/>
  <c r="N43" i="21"/>
  <c r="N46" i="21" s="1"/>
  <c r="M43" i="27"/>
  <c r="M46" i="27" s="1"/>
  <c r="N43" i="23"/>
  <c r="N46" i="23" s="1"/>
  <c r="M43" i="22"/>
  <c r="M46" i="22" s="1"/>
  <c r="M43" i="21"/>
  <c r="M46" i="21" s="1"/>
  <c r="N43" i="22"/>
  <c r="N46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nu am tinut cont de impozit pe monopol</t>
        </r>
      </text>
    </comment>
    <comment ref="C6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nu am tinut cont de impozit pe monopol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 adaugat estimarea de intrare in Vadu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 adaugat estimarea de intrare in Vadu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 adaugat estimarea de intrare in Vadu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am adaugat estimarea de intrare in Vadu</t>
        </r>
      </text>
    </comment>
  </commentList>
</comments>
</file>

<file path=xl/sharedStrings.xml><?xml version="1.0" encoding="utf-8"?>
<sst xmlns="http://schemas.openxmlformats.org/spreadsheetml/2006/main" count="1972" uniqueCount="363">
  <si>
    <t>TOTAL</t>
  </si>
  <si>
    <t>SNTGN TRANSGAZ SA Medias</t>
  </si>
  <si>
    <t>[MWh/zi]</t>
  </si>
  <si>
    <t>[MWh/h]</t>
  </si>
  <si>
    <t>[Miimc/zi]</t>
  </si>
  <si>
    <t>[Miimc/h]</t>
  </si>
  <si>
    <t>Grupul punctelor de intrare in SNT</t>
  </si>
  <si>
    <t>Grupul punctelor de iesire din SNT</t>
  </si>
  <si>
    <t>CAPACITATE FERMĂ PE TERMEN SCURT - TRIMESTRELE ANULUI GAZIER</t>
  </si>
  <si>
    <t>TRIM I GAZIER</t>
  </si>
  <si>
    <t xml:space="preserve"> 01.10.2017 -01.01.2018</t>
  </si>
  <si>
    <t>TRIM II GAZIER</t>
  </si>
  <si>
    <t>01.01.2018 - 01.04.2018</t>
  </si>
  <si>
    <t>TRIM III GAZIER</t>
  </si>
  <si>
    <t>01.04.2018 - 01.07.2018</t>
  </si>
  <si>
    <t>TRIM IV GAZIER</t>
  </si>
  <si>
    <t>01.07.2018 - 01.10.2018</t>
  </si>
  <si>
    <t>CAPACITATE FERMĂ PE TERMEN SCURT - LUNILE ANULUI GAZIER</t>
  </si>
  <si>
    <t>CAPACITATE  LUNA - octombrie</t>
  </si>
  <si>
    <t>CAPACITATE  LUNA - noiembrie</t>
  </si>
  <si>
    <t>CAPACITATE  LUNA - decembrie</t>
  </si>
  <si>
    <t>CAPACITATE  LUNA - ianuarie</t>
  </si>
  <si>
    <t>CAPACITATE  LUNA - februarie</t>
  </si>
  <si>
    <t>CAPACITATE  LUNA - martie</t>
  </si>
  <si>
    <t>CAPACITATE  LUNA - aprilie</t>
  </si>
  <si>
    <t>CAPACITATE  LUNA - mai</t>
  </si>
  <si>
    <t>CAPACITATE  LUNA - iunie</t>
  </si>
  <si>
    <t>CAPACITATE  LUNA - iulie</t>
  </si>
  <si>
    <t>CAPACITATE  LUNA - august</t>
  </si>
  <si>
    <t>CAPACITATE  LUNA -septembie</t>
  </si>
  <si>
    <t>ponderile sunt calculate in baza realizarilor masurate in fiecare punct in 2016-2017</t>
  </si>
  <si>
    <t>Venit componenta rezervare de capacitate</t>
  </si>
  <si>
    <t>procent alocare grup puncte intrare/iesire</t>
  </si>
  <si>
    <t>grup puncte intrare</t>
  </si>
  <si>
    <t>grup puncte iesire</t>
  </si>
  <si>
    <t>Venit - mii lei</t>
  </si>
  <si>
    <t>nr. ore</t>
  </si>
  <si>
    <t>coeficient</t>
  </si>
  <si>
    <t>capacitate MWh</t>
  </si>
  <si>
    <t xml:space="preserve">∑ cap.x ore </t>
  </si>
  <si>
    <t xml:space="preserve">∑ cap.x ore x coef. </t>
  </si>
  <si>
    <t>tarife lei/MWh</t>
  </si>
  <si>
    <t>venit - lei</t>
  </si>
  <si>
    <t>capacitati ferme termen lung</t>
  </si>
  <si>
    <t>Intrare inmagazinare termen lung</t>
  </si>
  <si>
    <t>Iesire inmagazinare termen lung</t>
  </si>
  <si>
    <t>capacitati ferme termen lung intreruptibile</t>
  </si>
  <si>
    <t>capacitati ferme termen scurt luna aprilie vara</t>
  </si>
  <si>
    <t>capacitati ferme termen scurt luna mai vara</t>
  </si>
  <si>
    <t>capacitati ferme termen scurt luna iunie vara</t>
  </si>
  <si>
    <t>capacitati ferme termen scurt luna iulie vara</t>
  </si>
  <si>
    <t>capacitati ferme termen scurt luna august vara</t>
  </si>
  <si>
    <t>capacitati ferme termen scurt luna septembrie vara</t>
  </si>
  <si>
    <t>capacitati ferme termen scurt octombrie iarna</t>
  </si>
  <si>
    <t>capacitati ferme termen scurt noiembrie iarna</t>
  </si>
  <si>
    <t>capacitati ferme termen scurt decembrie iarna</t>
  </si>
  <si>
    <t>capacitati ferme termen scurt ianuarie iarna</t>
  </si>
  <si>
    <t>capacitati ferme termen scurt februarie iarna</t>
  </si>
  <si>
    <t>capacitati ferme termen scurt martie iarna</t>
  </si>
  <si>
    <t>componenta volumetrica</t>
  </si>
  <si>
    <t>cantitate transportata MWh</t>
  </si>
  <si>
    <t>componenta volumetrica lei/MWh</t>
  </si>
  <si>
    <t>tarif mediu</t>
  </si>
  <si>
    <t>Revenue(Intra cap)</t>
  </si>
  <si>
    <t>Revenue(Cross cap)</t>
  </si>
  <si>
    <t>Revenue(Intra comm)</t>
  </si>
  <si>
    <t>Revenue(Cross comm)</t>
  </si>
  <si>
    <t>Ratio(intra cap)</t>
  </si>
  <si>
    <t>Ratio(cross cap)</t>
  </si>
  <si>
    <t>Ratio(intra comm)</t>
  </si>
  <si>
    <t>Ratio(cross comm)</t>
  </si>
  <si>
    <t>TEST CAPCITATE</t>
  </si>
  <si>
    <t>TEST FLUX</t>
  </si>
  <si>
    <t>2019-2020</t>
  </si>
  <si>
    <t>NR. CRT</t>
  </si>
  <si>
    <t>Tarif intrare</t>
  </si>
  <si>
    <t>Tarif iesire</t>
  </si>
  <si>
    <t>Venit intrare</t>
  </si>
  <si>
    <t>Venit iesire</t>
  </si>
  <si>
    <t>Ore</t>
  </si>
  <si>
    <t>MWh/h</t>
  </si>
  <si>
    <t>Departament Operare</t>
  </si>
  <si>
    <t>Marius STROIA</t>
  </si>
  <si>
    <t>Direcţia Comercială</t>
  </si>
  <si>
    <t>Ioan RĂU</t>
  </si>
  <si>
    <t>Şef Serviciu Contracte Transport Gaze Naturale</t>
  </si>
  <si>
    <t>Bucur Crăciun NEAGU</t>
  </si>
  <si>
    <t>Întocmit</t>
  </si>
  <si>
    <t>Ec. Camelia PALEA</t>
  </si>
  <si>
    <t>Venitul estimat pentru anul 19-20 determinat astfel:</t>
  </si>
  <si>
    <t>Venitul total aprobat pentru anul 2017-2018</t>
  </si>
  <si>
    <t>nu se tine cont de componentele de corectie din 17-18</t>
  </si>
  <si>
    <t>se ia in considerarea sporul de eficienta determinat pentru 14-15 ce urmeaa a fi cedat UR in 19-20</t>
  </si>
  <si>
    <t>se tine cont de CAPEX aferent proiectelor din TYNDP aprobat ce vor fi puse in functiune pana in sept.2019</t>
  </si>
  <si>
    <t>T1 devine parte SNT</t>
  </si>
  <si>
    <t>Venit total estimat 19-20</t>
  </si>
  <si>
    <t xml:space="preserve">capacitati ferme termen scurt trimestru I </t>
  </si>
  <si>
    <t>capacitati ferme termen scurt trimestru I inmagazinare</t>
  </si>
  <si>
    <t xml:space="preserve">capacitati ferme termen scurt trimestru II </t>
  </si>
  <si>
    <t>capacitati ferme termen scurt trimestru II inmagazinare</t>
  </si>
  <si>
    <t>capacitati ferme termen scurt trimestru III</t>
  </si>
  <si>
    <t>capacitati ferme termen scurt trimestru III inmagazinare</t>
  </si>
  <si>
    <t>capacitati ferme termen scurt trimestru IV</t>
  </si>
  <si>
    <t>capacitati ferme termen scurt trimestru IV inmagazinare</t>
  </si>
  <si>
    <t>capacitati ferme termen scurt octombrie iarna inmagazinare</t>
  </si>
  <si>
    <t>capacitati ferme termen scurt noiembrie iarna inmagazinare</t>
  </si>
  <si>
    <t>capacitati ferme termen scurt decembrie iarna inmagazinare</t>
  </si>
  <si>
    <t>capacitati ferme termen scurt ianuarie iarna inmagazinare</t>
  </si>
  <si>
    <t>capacitati ferme termen scurt februarie iarna inmagazinare</t>
  </si>
  <si>
    <t>capacitati ferme termen scurt martie iarna inmagazinare</t>
  </si>
  <si>
    <t>capacitati ferme termen scurt luna aprilie vara inmagazinare</t>
  </si>
  <si>
    <t>capacitati ferme termen scurt luna mai vara inmagazinare</t>
  </si>
  <si>
    <t>capacitati ferme termen scurt luna iunie vara inmagazinare</t>
  </si>
  <si>
    <t>capacitati ferme termen scurt luna iulie vara inmagazinare</t>
  </si>
  <si>
    <t>capacitati ferme termen scurt luna august vara inmagazinare</t>
  </si>
  <si>
    <t>capacitati ferme termen scurt luna septembrie vara inmagazinare</t>
  </si>
  <si>
    <t>Anexa 4</t>
  </si>
  <si>
    <t>IPOTEZE</t>
  </si>
  <si>
    <t>CAPACITATE FERMĂ PE TERMEN LUNG - AN GAZIER</t>
  </si>
  <si>
    <r>
      <t>ANUL GAZIER 2017-2018  (REZERVAT</t>
    </r>
    <r>
      <rPr>
        <b/>
        <sz val="11"/>
        <rFont val="Arial Narrow"/>
        <family val="2"/>
        <charset val="238"/>
      </rPr>
      <t>)</t>
    </r>
  </si>
  <si>
    <r>
      <t>ANUL GAZIER 2019-2020 (</t>
    </r>
    <r>
      <rPr>
        <b/>
        <sz val="11"/>
        <color theme="8" tint="-0.249977111117893"/>
        <rFont val="Arial Narrow"/>
        <family val="2"/>
      </rPr>
      <t>ESTIMAT</t>
    </r>
    <r>
      <rPr>
        <b/>
        <sz val="11"/>
        <rFont val="Arial Narrow"/>
        <family val="2"/>
        <charset val="238"/>
      </rPr>
      <t>)-OSD peak consumption termen lung</t>
    </r>
  </si>
  <si>
    <t xml:space="preserve">Capacitatile estimate sunt cele comunicate Departamentului Economic pt. BVC 2018-2021, din care s-au scazut capacitatile intrare/iesire annuale Chemgas si s-au adaugat capacitatile intrare/iesire trim I si II gazier Chemgas </t>
  </si>
  <si>
    <t>Grupul punctelor de intrare in SNT - Total, din care:</t>
  </si>
  <si>
    <r>
      <rPr>
        <b/>
        <sz val="11"/>
        <color theme="1"/>
        <rFont val="Calibri"/>
        <family val="2"/>
        <scheme val="minor"/>
      </rPr>
      <t>OSI</t>
    </r>
    <r>
      <rPr>
        <sz val="11"/>
        <color theme="1"/>
        <rFont val="Calibri"/>
        <family val="2"/>
        <scheme val="minor"/>
      </rPr>
      <t xml:space="preserve"> grup puncte intrare in SNT din depozit (extras)</t>
    </r>
  </si>
  <si>
    <r>
      <rPr>
        <b/>
        <sz val="11"/>
        <color theme="1"/>
        <rFont val="Calibri"/>
        <family val="2"/>
        <scheme val="minor"/>
      </rPr>
      <t>OSTA</t>
    </r>
    <r>
      <rPr>
        <sz val="11"/>
        <color theme="1"/>
        <rFont val="Calibri"/>
        <family val="2"/>
        <scheme val="minor"/>
      </rPr>
      <t xml:space="preserve">   Mediesu Aurit-Isaccea import</t>
    </r>
  </si>
  <si>
    <t>Diminuat cu rezervarea MET</t>
  </si>
  <si>
    <r>
      <rPr>
        <b/>
        <sz val="11"/>
        <color theme="1"/>
        <rFont val="Calibri"/>
        <family val="2"/>
        <scheme val="minor"/>
      </rPr>
      <t>OSTAC</t>
    </r>
    <r>
      <rPr>
        <sz val="11"/>
        <color theme="1"/>
        <rFont val="Calibri"/>
        <family val="2"/>
        <scheme val="minor"/>
      </rPr>
      <t xml:space="preserve"> Csanadpalota import</t>
    </r>
  </si>
  <si>
    <t>Rezervare anuala Engie multiplicata + rezervarev MET multianuala</t>
  </si>
  <si>
    <r>
      <rPr>
        <b/>
        <sz val="11"/>
        <color theme="1"/>
        <rFont val="Calibri"/>
        <family val="2"/>
        <scheme val="minor"/>
      </rPr>
      <t>OSTAR</t>
    </r>
    <r>
      <rPr>
        <sz val="11"/>
        <color theme="1"/>
        <rFont val="Calibri"/>
        <family val="2"/>
        <scheme val="minor"/>
      </rPr>
      <t xml:space="preserve"> Ruse-Giurgiu import</t>
    </r>
  </si>
  <si>
    <r>
      <rPr>
        <b/>
        <sz val="11"/>
        <color theme="1"/>
        <rFont val="Calibri"/>
        <family val="2"/>
        <scheme val="minor"/>
      </rPr>
      <t>PROD</t>
    </r>
    <r>
      <rPr>
        <sz val="11"/>
        <color theme="1"/>
        <rFont val="Calibri"/>
        <family val="2"/>
        <scheme val="minor"/>
      </rPr>
      <t xml:space="preserve"> grup puncte productie</t>
    </r>
  </si>
  <si>
    <t>scazut CHEGAZ</t>
  </si>
  <si>
    <t>Intrare Vadu-incepere din 01.07.2020</t>
  </si>
  <si>
    <t>Grupul punctelor de iesire din SNT - Total, din care:</t>
  </si>
  <si>
    <r>
      <rPr>
        <b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 xml:space="preserve"> consumatori directi</t>
    </r>
  </si>
  <si>
    <r>
      <rPr>
        <b/>
        <sz val="11"/>
        <color theme="1"/>
        <rFont val="Calibri"/>
        <family val="2"/>
        <scheme val="minor"/>
      </rPr>
      <t>OSD</t>
    </r>
    <r>
      <rPr>
        <sz val="11"/>
        <color theme="1"/>
        <rFont val="Calibri"/>
        <family val="2"/>
        <scheme val="minor"/>
      </rPr>
      <t xml:space="preserve"> Operatori sisteme distributie</t>
    </r>
  </si>
  <si>
    <r>
      <rPr>
        <b/>
        <sz val="11"/>
        <color theme="1"/>
        <rFont val="Calibri"/>
        <family val="2"/>
        <scheme val="minor"/>
      </rPr>
      <t>OSII</t>
    </r>
    <r>
      <rPr>
        <sz val="11"/>
        <color theme="1"/>
        <rFont val="Calibri"/>
        <family val="2"/>
        <scheme val="minor"/>
      </rPr>
      <t xml:space="preserve"> grup puncte iesire din SNT in depozit (injectie)</t>
    </r>
  </si>
  <si>
    <r>
      <rPr>
        <b/>
        <sz val="11"/>
        <color theme="1"/>
        <rFont val="Calibri"/>
        <family val="2"/>
        <scheme val="minor"/>
      </rPr>
      <t>OSTAER</t>
    </r>
    <r>
      <rPr>
        <sz val="11"/>
        <color theme="1"/>
        <rFont val="Calibri"/>
        <family val="2"/>
        <scheme val="minor"/>
      </rPr>
      <t xml:space="preserve"> Ruse-Giurgiu export</t>
    </r>
  </si>
  <si>
    <r>
      <rPr>
        <b/>
        <sz val="11"/>
        <color theme="1"/>
        <rFont val="Calibri"/>
        <family val="2"/>
        <scheme val="minor"/>
      </rPr>
      <t>OSTAEC</t>
    </r>
    <r>
      <rPr>
        <sz val="11"/>
        <color theme="1"/>
        <rFont val="Calibri"/>
        <family val="2"/>
        <scheme val="minor"/>
      </rPr>
      <t xml:space="preserve"> Csanadpalota export</t>
    </r>
  </si>
  <si>
    <t>Rezervare anuala</t>
  </si>
  <si>
    <r>
      <rPr>
        <b/>
        <sz val="11"/>
        <color theme="1"/>
        <rFont val="Calibri"/>
        <family val="2"/>
        <scheme val="minor"/>
      </rPr>
      <t>OSTAEU</t>
    </r>
    <r>
      <rPr>
        <sz val="11"/>
        <color theme="1"/>
        <rFont val="Calibri"/>
        <family val="2"/>
        <scheme val="minor"/>
      </rPr>
      <t xml:space="preserve"> Ungheni export</t>
    </r>
  </si>
  <si>
    <r>
      <t>AN GAZIER 2017-2018 (REZERVAT/</t>
    </r>
    <r>
      <rPr>
        <b/>
        <sz val="11"/>
        <color theme="8" tint="-0.249977111117893"/>
        <rFont val="Arial Narrow"/>
        <family val="2"/>
      </rPr>
      <t>ESTIMAT</t>
    </r>
    <r>
      <rPr>
        <b/>
        <sz val="11"/>
        <rFont val="Arial Narrow"/>
        <family val="2"/>
        <charset val="238"/>
      </rPr>
      <t>)</t>
    </r>
  </si>
  <si>
    <r>
      <t>ANUL GAZIER 2018-2019 (</t>
    </r>
    <r>
      <rPr>
        <b/>
        <sz val="11"/>
        <color theme="8" tint="-0.249977111117893"/>
        <rFont val="Arial Narrow"/>
        <family val="2"/>
      </rPr>
      <t>ESTIMAT</t>
    </r>
    <r>
      <rPr>
        <b/>
        <sz val="11"/>
        <rFont val="Arial Narrow"/>
        <family val="2"/>
        <charset val="238"/>
      </rPr>
      <t>)</t>
    </r>
  </si>
  <si>
    <t xml:space="preserve"> 01.10.2018 -01.01.2019</t>
  </si>
  <si>
    <t>adaugat CHEMGAZ</t>
  </si>
  <si>
    <t>01.01.2019 - 01.04.2019</t>
  </si>
  <si>
    <t>01.04.2019 - 01.07.2019</t>
  </si>
  <si>
    <t>01.07.2019 - 01.10.2019</t>
  </si>
  <si>
    <t>Director Departament Operare</t>
  </si>
  <si>
    <t>Stroia Marius</t>
  </si>
  <si>
    <t>Director Directia Comerciala</t>
  </si>
  <si>
    <t>Rau Ioan</t>
  </si>
  <si>
    <t>Neagu Crăciun Bucur</t>
  </si>
  <si>
    <t>Păun Ștefan</t>
  </si>
  <si>
    <t>CAPACITATE FERMĂ TOATE PRODUSELE</t>
  </si>
  <si>
    <t>din care extractie</t>
  </si>
  <si>
    <t>din care injecție</t>
  </si>
  <si>
    <t>din care catre OSD</t>
  </si>
  <si>
    <t>din care catre CD</t>
  </si>
  <si>
    <r>
      <t xml:space="preserve">              Capacitatea rezervată în punctul de intrare Isaccea 1 şi în 
            punctul de ieşire Negru Vodă 1 (realizată/</t>
    </r>
    <r>
      <rPr>
        <b/>
        <sz val="14"/>
        <color rgb="FF00B050"/>
        <rFont val="Arial Narrow"/>
        <family val="2"/>
        <charset val="238"/>
      </rPr>
      <t>estimată</t>
    </r>
    <r>
      <rPr>
        <b/>
        <sz val="14"/>
        <color theme="1"/>
        <rFont val="Arial Narrow"/>
        <family val="2"/>
        <charset val="238"/>
      </rPr>
      <t xml:space="preserve">) </t>
    </r>
  </si>
  <si>
    <t>KWh/zi</t>
  </si>
  <si>
    <t xml:space="preserve">Perioada </t>
  </si>
  <si>
    <t>Isaccea 1 / Negru Voda 1
 2016-2017</t>
  </si>
  <si>
    <t>Isaccea 1 / Negru Voda 1 
2017-2018</t>
  </si>
  <si>
    <t>Isaccea 1 / Negru Voda 1 
2018-2019</t>
  </si>
  <si>
    <t>Coeficient de multiplicare</t>
  </si>
  <si>
    <t>Capacitate *coeficient*ore</t>
  </si>
  <si>
    <t>realizat</t>
  </si>
  <si>
    <t>realizat/estimat</t>
  </si>
  <si>
    <t>estimat</t>
  </si>
  <si>
    <t xml:space="preserve"> An gazier </t>
  </si>
  <si>
    <t xml:space="preserve"> trim I gazier</t>
  </si>
  <si>
    <t xml:space="preserve"> trim II gazier</t>
  </si>
  <si>
    <t xml:space="preserve"> trim III gazier </t>
  </si>
  <si>
    <t xml:space="preserve"> trim IV gazier</t>
  </si>
  <si>
    <t>Octombrie</t>
  </si>
  <si>
    <t xml:space="preserve">Noiembrie </t>
  </si>
  <si>
    <t>Decembrie</t>
  </si>
  <si>
    <t xml:space="preserve">Ianuarie </t>
  </si>
  <si>
    <t xml:space="preserve">Februarie </t>
  </si>
  <si>
    <t xml:space="preserve">Martie </t>
  </si>
  <si>
    <t>Aprilie</t>
  </si>
  <si>
    <t>Mai</t>
  </si>
  <si>
    <t>Iunie</t>
  </si>
  <si>
    <t>Iulie</t>
  </si>
  <si>
    <t>August</t>
  </si>
  <si>
    <t>Septembrie</t>
  </si>
  <si>
    <t>MWh</t>
  </si>
  <si>
    <t>Average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</si>
  <si>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</si>
  <si>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</si>
  <si>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</si>
  <si>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</si>
  <si>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</si>
  <si>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</si>
  <si>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</si>
  <si>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</si>
  <si>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</si>
  <si>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</si>
  <si>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</si>
  <si>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SUM</t>
  </si>
  <si>
    <t>oct 2017-sept 2018</t>
  </si>
  <si>
    <t>rata lunara de utilizare</t>
  </si>
  <si>
    <t>rata lunara de utilizare*12</t>
  </si>
  <si>
    <t>s=2 (coeficienti lunari)</t>
  </si>
  <si>
    <t>s=2 (coeficienti trimestriali)</t>
  </si>
  <si>
    <t>luna cu medie 1.3</t>
  </si>
  <si>
    <t>Trimestru cu medie 1,3</t>
  </si>
  <si>
    <t>luna cu medie 1.5</t>
  </si>
  <si>
    <t>zi cu medie 3</t>
  </si>
  <si>
    <t>Estimare cantitati transportate in anul agzier 2019-2020</t>
  </si>
  <si>
    <t>TOTAL SNT</t>
  </si>
  <si>
    <t>TOTAL T1</t>
  </si>
  <si>
    <t>[MWh]</t>
  </si>
  <si>
    <t xml:space="preserve">OCTOMBRIE </t>
  </si>
  <si>
    <t>NOIEMBRIE</t>
  </si>
  <si>
    <t>DECEMBRIE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</si>
  <si>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</si>
  <si>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</si>
  <si>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</si>
  <si>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</si>
  <si>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</si>
  <si>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</si>
  <si>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</si>
  <si>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</si>
  <si>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</si>
  <si>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Capacitate *ore</t>
  </si>
  <si>
    <t xml:space="preserve">VARF DE CONSUM  AN GAZIER 2017 - 2018                       </t>
  </si>
  <si>
    <t>ALOCARI  26 februarie  2018</t>
  </si>
  <si>
    <t>se considera rezervare la interfata ots-osd annual la nivelul varfului de consum si se exclud rezervarile pe termen scurt la aceasta interfata</t>
  </si>
  <si>
    <t>se utilizeaza ponderi anuale, trimestriale si lunare pentru impartirea rezervarilor pe puncte fizice in vederea calcularii tarifelor si a testelor de alocare prin utilizarea metodologiei de referinta CWD</t>
  </si>
  <si>
    <t>export Csanadpalota legat de sursele Vadu si Band vest</t>
  </si>
  <si>
    <t>sunt considerate venituri crossborder veniturile obtinute pe T1 si venitul obtinut in PI Csanadpalota</t>
  </si>
  <si>
    <t>se estimeaza rezervare de capacitate pornind de la rezervarile fundamentate pentru anul gazier 2018-2019 si tinand cont de proiectele de capacitate incrementala estimate a se finaliza cu rezervare de capacitate incepand din anul gazier 2019-2020</t>
  </si>
  <si>
    <t>estimarile de rezervari utilizate la fundamentarea tarifelor pentru anul gazier 2018-2019 atat pentru SNT cat si pentru conducta T1</t>
  </si>
  <si>
    <t>Venitul penru perioada octombrie 2020-septembrie 2024 se determina pornind de la venitul estimat pentru anul 19-20 si se iau in considerare proiectele din planul de investitii pe 10 ani pentru care s-a luat decizia de investitie sau pentru care s-au incheiat contracte de capacitate incrementala</t>
  </si>
  <si>
    <t>venitul estimat rezultat in urma calculelor efectuate:</t>
  </si>
  <si>
    <t>2020-2021</t>
  </si>
  <si>
    <t>2021-2022</t>
  </si>
  <si>
    <t>2022-2023</t>
  </si>
  <si>
    <t>2023-2024</t>
  </si>
  <si>
    <t>mii lei</t>
  </si>
  <si>
    <t>pentru perioada 2020/2021 - 2023/2024 se adauga la rezervare de capacitate capacitate rezervata in punctul Tuzla</t>
  </si>
  <si>
    <t>pentru perioada 2022/2023 - 2023/2024 se adauga la rezervare de capacitate capacitate rezervata in punctul Csanadpalota atat pe intrare cat si pe iesire</t>
  </si>
  <si>
    <t>Intrare Vadu-incepere din 01.02.2021</t>
  </si>
  <si>
    <t>Intrare Vadu</t>
  </si>
  <si>
    <t>Intrare Tuzla - incepere din 01.07.2021</t>
  </si>
  <si>
    <t xml:space="preserve">ESTIMARE REZERVARE CAPACITATE  AN GAZIER 2020 - 2021 </t>
  </si>
  <si>
    <t xml:space="preserve">ESTIMARE REZERVARE CAPACITATE  2019 - 2020                                 </t>
  </si>
  <si>
    <t xml:space="preserve">ESTIMARE REZERVARE CAPACITATE  AN GAZIER 2021 - 2022 </t>
  </si>
  <si>
    <t>ESTIMARE REZERVARE CAPACITATE  AN GAZIER 2022 - 2023</t>
  </si>
  <si>
    <t>Venit total estimat 20-21</t>
  </si>
  <si>
    <t>Tuzla</t>
  </si>
  <si>
    <t>Vadu</t>
  </si>
  <si>
    <t>Grupul Punctelor de intrare in SNT</t>
  </si>
  <si>
    <t>Grupul Punctelor de iesire din SNT</t>
  </si>
  <si>
    <t>Pentru depozitele de inmagazinare subterana se aplica un discount de 50% la preturile din tabelul de mai sus</t>
  </si>
  <si>
    <t>variatiile preturilor estimate de referinte sunt cauzate de urmatorii factori:</t>
  </si>
  <si>
    <t>in anul 2019-2020 venitul permis aferent produselor de rezervare de capacitate reprezinta 75% din venitul total, in anul 2020-2021 are o pondere de 80% din venitul total, iar incepand cu anul 2021-2022 are o pondere de 85%.</t>
  </si>
  <si>
    <t>Investitiile cuprinse in planul de dezvoltare pe 10 ani aprobat de ANRE, estimate a fi puse in functiune in aceasta perioada</t>
  </si>
  <si>
    <t>Capacitatea rezervata in urma finalizarii contractelor de capacitate incrementala finalizate cu succes, precum si capacitatea incrementala estimata a fi rezervata in procesele de capacitate incrementala in derulare.</t>
  </si>
  <si>
    <t xml:space="preserve">Mentionam ca estimarile tarifelor de referinta pentru perioada 2019-2024 au fost realizata in baza ipotezelor cunoscute in acest moment. </t>
  </si>
  <si>
    <t>Preturile de referinta estimate</t>
  </si>
  <si>
    <t>Pret de referinta an precedent/an curent</t>
  </si>
  <si>
    <t>Variatia preturilor de referinta estimate in anul 2019-2020 fata de nivelul celor aprobate in anul gazier 2018-2019 sunt datorate urmatorilor factori:</t>
  </si>
  <si>
    <t>in anul 2018-2019 venitul permis aferent produselor de rezervare de capacitate reprezinta 70% din venitul total, iar in 2021-2022 are o pondere de 80% din venitul total.</t>
  </si>
  <si>
    <t>Investitiile cuprinse in planul de dezvoltare pe 10 ani aprobat de ANRE, estimate a fi puse in functiune pana la 30 septembrie 2018</t>
  </si>
  <si>
    <t>rezervarea de capacitate la nivelul maximului de consum la interfata OST/OSD</t>
  </si>
  <si>
    <t>Diferenta</t>
  </si>
  <si>
    <t>Grupul Punctelor de iesire din SNT lei/MWh/h</t>
  </si>
  <si>
    <t>Grupul Punctelor de intrare in SNT lei/MWh/h</t>
  </si>
  <si>
    <t>An gazier oct.2019-sept.2020 estimat</t>
  </si>
  <si>
    <t>An gazier oct.2020-sept.2021 estimat</t>
  </si>
  <si>
    <t>An gazier oct.2021-sept.2022 estimat</t>
  </si>
  <si>
    <t>An gazier oct.2022-sept.2023 estimat</t>
  </si>
  <si>
    <t>An gazier oct.2023-sept.2024 estimat</t>
  </si>
  <si>
    <t>Venit total (mii lei)</t>
  </si>
  <si>
    <t>Venit componenta rezervare de capacitate (mii lei)</t>
  </si>
  <si>
    <t>procent alocare a venitului total in venituri fixe</t>
  </si>
  <si>
    <t>Estimari de rezervare de capacitate</t>
  </si>
  <si>
    <t>capacitati ferme termen scurt trimestru II vara</t>
  </si>
  <si>
    <t>capacitati ferme termen scurt trimestru III vara</t>
  </si>
  <si>
    <t>capacitati ferme termen scurt trimestru IV iarna</t>
  </si>
  <si>
    <t>capacitati ferme termen scurt trimestru I iarna</t>
  </si>
  <si>
    <t>coeficient de multiplicare</t>
  </si>
  <si>
    <t>2018-2019</t>
  </si>
  <si>
    <t xml:space="preserve">coeficient de multiplicare </t>
  </si>
  <si>
    <t xml:space="preserve">Prețul de referință lei/MWh/ora </t>
  </si>
  <si>
    <t xml:space="preserve">Prețul de referință pentru serviciile de înmagazinare lei/MWh/ora </t>
  </si>
  <si>
    <t>celulele verzi se pot completa cu valorile estimate de utilizatori</t>
  </si>
  <si>
    <t>capacitati ferme termen scurt luna octombrie iarna</t>
  </si>
  <si>
    <t>capacitati ferme termen scurt luna noiembrie iarna</t>
  </si>
  <si>
    <t>capacitati ferme termen scurt luna decembrie iarna</t>
  </si>
  <si>
    <t>capacitati ferme termen scurt luna ianuarie iarna</t>
  </si>
  <si>
    <t>capacitati ferme termen scurt luna februarie iarna</t>
  </si>
  <si>
    <t>capacitati ferme termen scurt luna martie iarna</t>
  </si>
  <si>
    <t>capacitati ferme termen scurt trimestru II vara inmagazinare</t>
  </si>
  <si>
    <t>capacitati ferme termen scurt trimestru III vara inmagazinare</t>
  </si>
  <si>
    <t>capacitati ferme termen scurt trimestru IV iarna inmagazinare</t>
  </si>
  <si>
    <t>capacitati ferme termen scurt trimestru I iarna inmagazinare</t>
  </si>
  <si>
    <t>capacitati ferme termen scurt luna octombrie iarna inmagazinare</t>
  </si>
  <si>
    <t>capacitati ferme termen scurt luna noiembrie iarna inmagazinare</t>
  </si>
  <si>
    <t>capacitati ferme termen scurt luna decembrie iarna inmagazinare</t>
  </si>
  <si>
    <t>capacitati ferme termen scurt luna ianuarie iarna inmagazinare</t>
  </si>
  <si>
    <t>capacitati ferme termen scurt luna februarie iarna inmagazinare</t>
  </si>
  <si>
    <t>capacitati ferme termen scurt luna martie iarna inmagazinare</t>
  </si>
  <si>
    <t>Total revenue (thousand RON)</t>
  </si>
  <si>
    <t>Fixed component of total revenue (thousand RON)</t>
  </si>
  <si>
    <t>Percent of total revenue allocation by fix revenue</t>
  </si>
  <si>
    <t>Percent of fix revenue allocation by entry/exit points</t>
  </si>
  <si>
    <t>Capacity booking estimations</t>
  </si>
  <si>
    <t>group of entry points</t>
  </si>
  <si>
    <t>group of exit points</t>
  </si>
  <si>
    <t>Revenue - thousand RON</t>
  </si>
  <si>
    <t>no. of hours</t>
  </si>
  <si>
    <t>ratio</t>
  </si>
  <si>
    <t>capacity MWh</t>
  </si>
  <si>
    <t>Long-term firm capacities</t>
  </si>
  <si>
    <t>Long-term storage entry</t>
  </si>
  <si>
    <t>Long-term storage exit</t>
  </si>
  <si>
    <t>Short-term firm capacities Q II summer</t>
  </si>
  <si>
    <t xml:space="preserve">Short-term firm capacities Q III summer </t>
  </si>
  <si>
    <t>Short-term firm capacities Q IV winter</t>
  </si>
  <si>
    <t>Short-term firm capacities Q I winter</t>
  </si>
  <si>
    <t>Short-term firm capacities April summer</t>
  </si>
  <si>
    <t>Short-term firm capacities May summer</t>
  </si>
  <si>
    <t>Short-term firm capacities June summer</t>
  </si>
  <si>
    <t>Short-term firm capacities July summer</t>
  </si>
  <si>
    <t>Short-term firm capacities August summer</t>
  </si>
  <si>
    <t>Short-term firm capacities September summer</t>
  </si>
  <si>
    <t>Short-term firm capacities October winter</t>
  </si>
  <si>
    <t>Short-term firm capacities November winter</t>
  </si>
  <si>
    <t>Short-term firm capacities  December winter</t>
  </si>
  <si>
    <t>Short-term firm capacities January winter</t>
  </si>
  <si>
    <t>Short-term firm capacities February winter</t>
  </si>
  <si>
    <t>Short-term firm capacities March winter</t>
  </si>
  <si>
    <t>Gas year oct.2019-sept.2020 forecasted</t>
  </si>
  <si>
    <t>Gas year oct.2020-sept.2021 forecasted</t>
  </si>
  <si>
    <t>Gas year oct.2021-sept.2022 forecasted</t>
  </si>
  <si>
    <t>Gas year oct.2022-sept.2023 forecasted</t>
  </si>
  <si>
    <t>Gas year oct.2023-sept.2024 forecasted</t>
  </si>
  <si>
    <t>Prețurile de referință</t>
  </si>
  <si>
    <t>Reference prices</t>
  </si>
  <si>
    <t>green cells may be filled-in with the values estimated by the users</t>
  </si>
  <si>
    <t>Short-term firm capacities Q II summer storage</t>
  </si>
  <si>
    <t>Short-term firm capacities Q III summer storage</t>
  </si>
  <si>
    <t>Short-term firm capacities Q IV winter storage</t>
  </si>
  <si>
    <t>Short-term firm capacities Q I winter storage</t>
  </si>
  <si>
    <t>Short-term firm capacities April summer storage</t>
  </si>
  <si>
    <t>Short-term firm capacities May summer storage</t>
  </si>
  <si>
    <t>Short-term firm capacities June summer storage</t>
  </si>
  <si>
    <t>Short-term firm capacities July summer storage</t>
  </si>
  <si>
    <t>Short-term firm capacities August summer storage</t>
  </si>
  <si>
    <t>Short-term firm capacities September summer storage</t>
  </si>
  <si>
    <t>Short-term firm capacities October winter storage</t>
  </si>
  <si>
    <t>Short-term firm capacities November winter storage</t>
  </si>
  <si>
    <t>Short-term firm capacities  December winter storage</t>
  </si>
  <si>
    <t>Short-term firm capacities January winter storage</t>
  </si>
  <si>
    <t>Short-term firm capacities February winter storage</t>
  </si>
  <si>
    <t>Short-term firm capacities March winter storage</t>
  </si>
  <si>
    <t>multiplier</t>
  </si>
  <si>
    <t>Reference price lei/MWh/h</t>
  </si>
  <si>
    <t>Reference price-storage lei/MWh/h</t>
  </si>
  <si>
    <t>Anexa 12-Comparatie tarife si model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</si>
</sst>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\ _l_e_i_-;\-* #,##0.00\ _l_e_i_-;_-* &quot;-&quot;??\ _l_e_i_-;_-@_-"/>
    <numFmt numFmtId="165" formatCode="#,##0.000\ &quot;lei&quot;"/>
    <numFmt numFmtId="166" formatCode="#,##0.000"/>
    <numFmt numFmtId="167" formatCode="#,##0.000000"/>
    <numFmt numFmtId="168" formatCode="[$-409]d\-mmm\-yy;@"/>
    <numFmt numFmtId="169" formatCode="0.0%"/>
    <numFmt numFmtId="170" formatCode="#,##0.0"/>
    <numFmt numFmtId="171" formatCode="0.0000"/>
    <numFmt numFmtId="172" formatCode="_-* #,##0.00\ _F_t_-;\-* #,##0.00\ _F_t_-;_-* &quot;-&quot;??\ _F_t_-;_-@_-"/>
    <numFmt numFmtId="173" formatCode="_-* #,##0\ _F_t_-;\-* #,##0\ _F_t_-;_-* &quot;-&quot;??\ _F_t_-;_-@_-"/>
    <numFmt numFmtId="174" formatCode="#,##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b/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</font>
    <font>
      <sz val="10"/>
      <name val="Arial"/>
      <family val="2"/>
    </font>
    <font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color indexed="8"/>
      <name val="Arial"/>
      <family val="2"/>
      <charset val="238"/>
    </font>
    <font>
      <sz val="9"/>
      <color indexed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8" tint="-0.249977111117893"/>
      <name val="Arial Narrow"/>
      <family val="2"/>
    </font>
    <font>
      <b/>
      <sz val="11"/>
      <color rgb="FF0070C0"/>
      <name val="Arial Narrow"/>
      <family val="2"/>
    </font>
    <font>
      <sz val="11"/>
      <color theme="8" tint="-0.249977111117893"/>
      <name val="Arial Narrow"/>
      <family val="2"/>
      <charset val="238"/>
    </font>
    <font>
      <b/>
      <sz val="11"/>
      <color theme="8" tint="-0.249977111117893"/>
      <name val="Arial Narrow"/>
      <family val="2"/>
      <charset val="238"/>
    </font>
    <font>
      <sz val="11"/>
      <name val="Arial Narrow"/>
      <family val="2"/>
    </font>
    <font>
      <sz val="11"/>
      <color rgb="FF0070C0"/>
      <name val="Arial Narrow"/>
      <family val="2"/>
      <charset val="238"/>
    </font>
    <font>
      <sz val="11"/>
      <color theme="8" tint="-0.249977111117893"/>
      <name val="Arial Narrow"/>
      <family val="2"/>
    </font>
    <font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4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rgb="FF00B050"/>
      <name val="Arial Narrow"/>
      <family val="2"/>
      <charset val="238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066AA"/>
        <bgColor indexed="64"/>
      </patternFill>
    </fill>
    <fill>
      <patternFill patternType="solid">
        <fgColor rgb="FFDAEEF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double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 style="double">
        <color indexed="8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double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/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double">
        <color indexed="8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/>
      <top style="thin">
        <color indexed="0"/>
      </top>
      <bottom style="double">
        <color indexed="0"/>
      </bottom>
      <diagonal/>
    </border>
    <border>
      <left style="double">
        <color indexed="8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8"/>
      </bottom>
      <diagonal/>
    </border>
    <border>
      <left style="thin">
        <color indexed="0"/>
      </left>
      <right style="double">
        <color indexed="8"/>
      </right>
      <top style="thin">
        <color indexed="0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</borders>
  <cellStyleXfs count="19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11" fillId="0" borderId="0"/>
    <xf numFmtId="0" fontId="15" fillId="0" borderId="0"/>
    <xf numFmtId="168" fontId="11" fillId="0" borderId="0"/>
    <xf numFmtId="168" fontId="19" fillId="0" borderId="0"/>
    <xf numFmtId="168" fontId="21" fillId="0" borderId="0"/>
    <xf numFmtId="0" fontId="15" fillId="0" borderId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15" fillId="0" borderId="0"/>
    <xf numFmtId="0" fontId="11" fillId="0" borderId="0"/>
    <xf numFmtId="168" fontId="11" fillId="0" borderId="0"/>
  </cellStyleXfs>
  <cellXfs count="524">
    <xf numFmtId="0" fontId="0" fillId="0" borderId="0" xfId="0"/>
    <xf numFmtId="0" fontId="6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165" fontId="7" fillId="0" borderId="0" xfId="2" applyNumberFormat="1" applyFont="1" applyAlignment="1">
      <alignment vertical="center"/>
    </xf>
    <xf numFmtId="166" fontId="7" fillId="0" borderId="4" xfId="2" applyNumberFormat="1" applyFont="1" applyFill="1" applyBorder="1" applyAlignment="1">
      <alignment horizontal="right" vertical="center"/>
    </xf>
    <xf numFmtId="166" fontId="7" fillId="0" borderId="5" xfId="2" applyNumberFormat="1" applyFont="1" applyFill="1" applyBorder="1" applyAlignment="1">
      <alignment horizontal="right" vertical="center"/>
    </xf>
    <xf numFmtId="166" fontId="7" fillId="0" borderId="6" xfId="2" applyNumberFormat="1" applyFont="1" applyFill="1" applyBorder="1" applyAlignment="1">
      <alignment horizontal="right" vertical="center"/>
    </xf>
    <xf numFmtId="166" fontId="7" fillId="0" borderId="7" xfId="2" applyNumberFormat="1" applyFont="1" applyFill="1" applyBorder="1" applyAlignment="1">
      <alignment horizontal="right" vertical="center"/>
    </xf>
    <xf numFmtId="166" fontId="7" fillId="0" borderId="9" xfId="2" applyNumberFormat="1" applyFont="1" applyFill="1" applyBorder="1" applyAlignment="1">
      <alignment horizontal="right" vertical="center"/>
    </xf>
    <xf numFmtId="166" fontId="7" fillId="0" borderId="8" xfId="2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7" fillId="0" borderId="0" xfId="2" applyNumberFormat="1" applyFont="1" applyBorder="1" applyAlignment="1">
      <alignment horizontal="left" vertical="center" wrapText="1"/>
    </xf>
    <xf numFmtId="166" fontId="7" fillId="0" borderId="0" xfId="2" applyNumberFormat="1" applyFont="1" applyFill="1" applyBorder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0" fontId="13" fillId="0" borderId="0" xfId="2" applyFont="1" applyAlignment="1">
      <alignment vertical="center"/>
    </xf>
    <xf numFmtId="0" fontId="10" fillId="0" borderId="0" xfId="2" applyNumberFormat="1" applyFont="1" applyBorder="1" applyAlignment="1">
      <alignment vertical="center"/>
    </xf>
    <xf numFmtId="4" fontId="7" fillId="0" borderId="0" xfId="2" applyNumberFormat="1" applyFont="1" applyBorder="1" applyAlignment="1">
      <alignment horizontal="right" vertical="center"/>
    </xf>
    <xf numFmtId="167" fontId="7" fillId="0" borderId="6" xfId="2" applyNumberFormat="1" applyFont="1" applyBorder="1" applyAlignment="1">
      <alignment horizontal="right" vertical="center"/>
    </xf>
    <xf numFmtId="167" fontId="7" fillId="0" borderId="14" xfId="2" applyNumberFormat="1" applyFont="1" applyBorder="1" applyAlignment="1">
      <alignment horizontal="right" vertical="center"/>
    </xf>
    <xf numFmtId="4" fontId="0" fillId="0" borderId="0" xfId="0" applyNumberFormat="1"/>
    <xf numFmtId="168" fontId="16" fillId="0" borderId="0" xfId="7" applyFont="1"/>
    <xf numFmtId="3" fontId="16" fillId="0" borderId="0" xfId="7" applyNumberFormat="1" applyFont="1"/>
    <xf numFmtId="3" fontId="17" fillId="5" borderId="0" xfId="7" applyNumberFormat="1" applyFont="1" applyFill="1"/>
    <xf numFmtId="169" fontId="18" fillId="5" borderId="0" xfId="1" applyNumberFormat="1" applyFont="1" applyFill="1"/>
    <xf numFmtId="3" fontId="16" fillId="0" borderId="17" xfId="7" applyNumberFormat="1" applyFont="1" applyBorder="1"/>
    <xf numFmtId="3" fontId="16" fillId="0" borderId="0" xfId="7" applyNumberFormat="1" applyFont="1" applyBorder="1"/>
    <xf numFmtId="4" fontId="16" fillId="0" borderId="0" xfId="7" applyNumberFormat="1" applyFont="1"/>
    <xf numFmtId="168" fontId="16" fillId="0" borderId="18" xfId="7" applyFont="1" applyBorder="1"/>
    <xf numFmtId="3" fontId="12" fillId="0" borderId="19" xfId="7" applyNumberFormat="1" applyFont="1" applyBorder="1"/>
    <xf numFmtId="168" fontId="12" fillId="0" borderId="19" xfId="7" applyFont="1" applyBorder="1" applyAlignment="1">
      <alignment horizontal="center" wrapText="1"/>
    </xf>
    <xf numFmtId="168" fontId="12" fillId="0" borderId="20" xfId="7" applyFont="1" applyBorder="1" applyAlignment="1">
      <alignment horizontal="center" wrapText="1"/>
    </xf>
    <xf numFmtId="168" fontId="16" fillId="0" borderId="21" xfId="7" applyFont="1" applyBorder="1"/>
    <xf numFmtId="3" fontId="12" fillId="0" borderId="17" xfId="7" applyNumberFormat="1" applyFont="1" applyBorder="1" applyAlignment="1">
      <alignment horizontal="center"/>
    </xf>
    <xf numFmtId="168" fontId="12" fillId="0" borderId="21" xfId="8" applyFont="1" applyFill="1" applyBorder="1" applyAlignment="1">
      <alignment horizontal="justify" vertical="center" wrapText="1"/>
    </xf>
    <xf numFmtId="0" fontId="12" fillId="0" borderId="17" xfId="8" applyNumberFormat="1" applyFont="1" applyFill="1" applyBorder="1" applyAlignment="1">
      <alignment horizontal="right" vertical="center" wrapText="1"/>
    </xf>
    <xf numFmtId="4" fontId="16" fillId="0" borderId="17" xfId="7" applyNumberFormat="1" applyFont="1" applyBorder="1"/>
    <xf numFmtId="3" fontId="16" fillId="0" borderId="25" xfId="7" applyNumberFormat="1" applyFont="1" applyBorder="1"/>
    <xf numFmtId="168" fontId="12" fillId="0" borderId="26" xfId="8" applyFont="1" applyFill="1" applyBorder="1" applyAlignment="1">
      <alignment horizontal="justify" vertical="center" wrapText="1"/>
    </xf>
    <xf numFmtId="0" fontId="12" fillId="0" borderId="27" xfId="8" applyNumberFormat="1" applyFont="1" applyFill="1" applyBorder="1" applyAlignment="1">
      <alignment horizontal="right" vertical="center" wrapText="1"/>
    </xf>
    <xf numFmtId="4" fontId="12" fillId="0" borderId="27" xfId="7" applyNumberFormat="1" applyFont="1" applyBorder="1"/>
    <xf numFmtId="3" fontId="12" fillId="0" borderId="27" xfId="7" applyNumberFormat="1" applyFont="1" applyBorder="1"/>
    <xf numFmtId="3" fontId="12" fillId="0" borderId="28" xfId="7" applyNumberFormat="1" applyFont="1" applyBorder="1"/>
    <xf numFmtId="168" fontId="12" fillId="0" borderId="0" xfId="8" applyFont="1" applyFill="1" applyBorder="1" applyAlignment="1">
      <alignment horizontal="justify" vertical="center" wrapText="1"/>
    </xf>
    <xf numFmtId="0" fontId="12" fillId="0" borderId="0" xfId="8" applyNumberFormat="1" applyFont="1" applyFill="1" applyBorder="1" applyAlignment="1">
      <alignment horizontal="right" vertical="center" wrapText="1"/>
    </xf>
    <xf numFmtId="3" fontId="20" fillId="0" borderId="0" xfId="7" applyNumberFormat="1" applyFont="1"/>
    <xf numFmtId="170" fontId="16" fillId="0" borderId="0" xfId="7" applyNumberFormat="1" applyFont="1"/>
    <xf numFmtId="10" fontId="16" fillId="0" borderId="0" xfId="1" applyNumberFormat="1" applyFont="1"/>
    <xf numFmtId="168" fontId="22" fillId="0" borderId="0" xfId="9" applyFont="1" applyFill="1" applyAlignment="1">
      <alignment horizontal="left" wrapText="1"/>
    </xf>
    <xf numFmtId="4" fontId="22" fillId="0" borderId="0" xfId="9" applyNumberFormat="1" applyFont="1" applyFill="1" applyAlignment="1">
      <alignment horizontal="right" wrapText="1"/>
    </xf>
    <xf numFmtId="10" fontId="20" fillId="0" borderId="0" xfId="7" applyNumberFormat="1" applyFont="1"/>
    <xf numFmtId="0" fontId="23" fillId="0" borderId="29" xfId="0" applyFont="1" applyBorder="1"/>
    <xf numFmtId="4" fontId="23" fillId="0" borderId="30" xfId="0" applyNumberFormat="1" applyFont="1" applyBorder="1"/>
    <xf numFmtId="3" fontId="17" fillId="0" borderId="0" xfId="7" applyNumberFormat="1" applyFont="1"/>
    <xf numFmtId="0" fontId="23" fillId="0" borderId="31" xfId="0" applyFont="1" applyBorder="1"/>
    <xf numFmtId="4" fontId="23" fillId="0" borderId="32" xfId="0" applyNumberFormat="1" applyFont="1" applyBorder="1"/>
    <xf numFmtId="167" fontId="16" fillId="0" borderId="0" xfId="7" applyNumberFormat="1" applyFont="1"/>
    <xf numFmtId="171" fontId="23" fillId="0" borderId="32" xfId="0" applyNumberFormat="1" applyFont="1" applyBorder="1"/>
    <xf numFmtId="0" fontId="23" fillId="0" borderId="33" xfId="0" applyFont="1" applyBorder="1"/>
    <xf numFmtId="171" fontId="23" fillId="0" borderId="34" xfId="0" applyNumberFormat="1" applyFont="1" applyBorder="1"/>
    <xf numFmtId="0" fontId="23" fillId="0" borderId="0" xfId="0" applyFont="1"/>
    <xf numFmtId="0" fontId="24" fillId="0" borderId="29" xfId="0" applyFont="1" applyBorder="1"/>
    <xf numFmtId="10" fontId="23" fillId="0" borderId="30" xfId="0" applyNumberFormat="1" applyFont="1" applyFill="1" applyBorder="1"/>
    <xf numFmtId="0" fontId="24" fillId="0" borderId="33" xfId="0" applyFont="1" applyBorder="1"/>
    <xf numFmtId="10" fontId="23" fillId="0" borderId="34" xfId="0" applyNumberFormat="1" applyFont="1" applyBorder="1"/>
    <xf numFmtId="0" fontId="28" fillId="0" borderId="0" xfId="0" applyFont="1"/>
    <xf numFmtId="4" fontId="8" fillId="0" borderId="4" xfId="2" applyNumberFormat="1" applyFont="1" applyBorder="1" applyAlignment="1">
      <alignment horizontal="center" vertical="center"/>
    </xf>
    <xf numFmtId="4" fontId="8" fillId="0" borderId="5" xfId="2" applyNumberFormat="1" applyFont="1" applyBorder="1" applyAlignment="1">
      <alignment horizontal="center" vertical="center"/>
    </xf>
    <xf numFmtId="4" fontId="8" fillId="0" borderId="6" xfId="2" applyNumberFormat="1" applyFont="1" applyBorder="1" applyAlignment="1">
      <alignment horizontal="center" vertical="center"/>
    </xf>
    <xf numFmtId="168" fontId="12" fillId="7" borderId="21" xfId="8" applyFont="1" applyFill="1" applyBorder="1" applyAlignment="1">
      <alignment horizontal="justify" vertical="center" wrapText="1"/>
    </xf>
    <xf numFmtId="1" fontId="16" fillId="0" borderId="0" xfId="7" applyNumberFormat="1" applyFont="1"/>
    <xf numFmtId="0" fontId="10" fillId="8" borderId="10" xfId="2" applyNumberFormat="1" applyFont="1" applyFill="1" applyBorder="1" applyAlignment="1">
      <alignment vertical="center" wrapText="1"/>
    </xf>
    <xf numFmtId="0" fontId="8" fillId="0" borderId="15" xfId="2" applyFont="1" applyBorder="1" applyAlignment="1">
      <alignment vertical="center"/>
    </xf>
    <xf numFmtId="4" fontId="8" fillId="0" borderId="7" xfId="2" applyNumberFormat="1" applyFont="1" applyBorder="1" applyAlignment="1">
      <alignment horizontal="center" vertical="center"/>
    </xf>
    <xf numFmtId="4" fontId="8" fillId="0" borderId="9" xfId="2" applyNumberFormat="1" applyFont="1" applyBorder="1" applyAlignment="1">
      <alignment horizontal="center" vertical="center"/>
    </xf>
    <xf numFmtId="4" fontId="8" fillId="0" borderId="41" xfId="2" applyNumberFormat="1" applyFont="1" applyBorder="1" applyAlignment="1">
      <alignment horizontal="center" vertical="center"/>
    </xf>
    <xf numFmtId="4" fontId="8" fillId="0" borderId="42" xfId="2" applyNumberFormat="1" applyFont="1" applyBorder="1" applyAlignment="1">
      <alignment horizontal="center" vertical="center"/>
    </xf>
    <xf numFmtId="0" fontId="14" fillId="0" borderId="35" xfId="3" applyFont="1" applyBorder="1" applyAlignment="1">
      <alignment horizontal="left" vertical="center"/>
    </xf>
    <xf numFmtId="166" fontId="14" fillId="0" borderId="43" xfId="2" applyNumberFormat="1" applyFont="1" applyFill="1" applyBorder="1" applyAlignment="1">
      <alignment horizontal="right" vertical="center"/>
    </xf>
    <xf numFmtId="166" fontId="14" fillId="0" borderId="44" xfId="2" applyNumberFormat="1" applyFont="1" applyFill="1" applyBorder="1" applyAlignment="1">
      <alignment horizontal="right" vertical="center"/>
    </xf>
    <xf numFmtId="166" fontId="14" fillId="0" borderId="45" xfId="2" applyNumberFormat="1" applyFont="1" applyFill="1" applyBorder="1" applyAlignment="1">
      <alignment horizontal="right" vertical="center"/>
    </xf>
    <xf numFmtId="166" fontId="31" fillId="0" borderId="46" xfId="2" applyNumberFormat="1" applyFont="1" applyFill="1" applyBorder="1" applyAlignment="1">
      <alignment horizontal="right" vertical="center"/>
    </xf>
    <xf numFmtId="166" fontId="31" fillId="0" borderId="44" xfId="2" applyNumberFormat="1" applyFont="1" applyFill="1" applyBorder="1" applyAlignment="1">
      <alignment horizontal="right" vertical="center"/>
    </xf>
    <xf numFmtId="166" fontId="31" fillId="0" borderId="45" xfId="2" applyNumberFormat="1" applyFont="1" applyFill="1" applyBorder="1" applyAlignment="1">
      <alignment horizontal="right" vertical="center"/>
    </xf>
    <xf numFmtId="0" fontId="5" fillId="0" borderId="47" xfId="14" applyFont="1" applyBorder="1" applyAlignment="1">
      <alignment horizontal="left" indent="1"/>
    </xf>
    <xf numFmtId="166" fontId="7" fillId="0" borderId="48" xfId="2" applyNumberFormat="1" applyFont="1" applyFill="1" applyBorder="1" applyAlignment="1">
      <alignment horizontal="right" vertical="center"/>
    </xf>
    <xf numFmtId="166" fontId="7" fillId="0" borderId="38" xfId="2" applyNumberFormat="1" applyFont="1" applyFill="1" applyBorder="1" applyAlignment="1">
      <alignment horizontal="right" vertical="center"/>
    </xf>
    <xf numFmtId="166" fontId="7" fillId="0" borderId="49" xfId="2" applyNumberFormat="1" applyFont="1" applyFill="1" applyBorder="1" applyAlignment="1">
      <alignment horizontal="right" vertical="center"/>
    </xf>
    <xf numFmtId="166" fontId="32" fillId="0" borderId="40" xfId="2" applyNumberFormat="1" applyFont="1" applyFill="1" applyBorder="1" applyAlignment="1">
      <alignment horizontal="right" vertical="center"/>
    </xf>
    <xf numFmtId="166" fontId="32" fillId="0" borderId="38" xfId="2" applyNumberFormat="1" applyFont="1" applyFill="1" applyBorder="1" applyAlignment="1">
      <alignment horizontal="right" vertical="center"/>
    </xf>
    <xf numFmtId="166" fontId="32" fillId="0" borderId="49" xfId="2" applyNumberFormat="1" applyFont="1" applyFill="1" applyBorder="1" applyAlignment="1">
      <alignment horizontal="right" vertical="center"/>
    </xf>
    <xf numFmtId="9" fontId="7" fillId="0" borderId="0" xfId="2" applyNumberFormat="1" applyFont="1" applyAlignment="1">
      <alignment vertical="center"/>
    </xf>
    <xf numFmtId="0" fontId="5" fillId="0" borderId="11" xfId="14" applyFont="1" applyBorder="1" applyAlignment="1">
      <alignment horizontal="left" indent="1"/>
    </xf>
    <xf numFmtId="166" fontId="32" fillId="0" borderId="5" xfId="2" applyNumberFormat="1" applyFont="1" applyFill="1" applyBorder="1" applyAlignment="1">
      <alignment horizontal="right" vertical="center"/>
    </xf>
    <xf numFmtId="166" fontId="32" fillId="0" borderId="6" xfId="2" applyNumberFormat="1" applyFont="1" applyFill="1" applyBorder="1" applyAlignment="1">
      <alignment horizontal="right" vertical="center"/>
    </xf>
    <xf numFmtId="166" fontId="7" fillId="0" borderId="41" xfId="2" applyNumberFormat="1" applyFont="1" applyFill="1" applyBorder="1" applyAlignment="1">
      <alignment horizontal="right" vertical="center"/>
    </xf>
    <xf numFmtId="166" fontId="32" fillId="0" borderId="9" xfId="2" applyNumberFormat="1" applyFont="1" applyFill="1" applyBorder="1" applyAlignment="1">
      <alignment horizontal="right" vertical="center"/>
    </xf>
    <xf numFmtId="166" fontId="32" fillId="0" borderId="41" xfId="2" applyNumberFormat="1" applyFont="1" applyFill="1" applyBorder="1" applyAlignment="1">
      <alignment horizontal="right" vertical="center"/>
    </xf>
    <xf numFmtId="0" fontId="5" fillId="0" borderId="15" xfId="14" applyFont="1" applyBorder="1" applyAlignment="1">
      <alignment horizontal="left" indent="1"/>
    </xf>
    <xf numFmtId="0" fontId="0" fillId="0" borderId="31" xfId="14" applyFont="1" applyBorder="1" applyAlignment="1">
      <alignment horizontal="left" indent="1"/>
    </xf>
    <xf numFmtId="166" fontId="7" fillId="0" borderId="50" xfId="2" applyNumberFormat="1" applyFont="1" applyFill="1" applyBorder="1" applyAlignment="1">
      <alignment horizontal="right" vertical="center"/>
    </xf>
    <xf numFmtId="166" fontId="7" fillId="0" borderId="51" xfId="2" applyNumberFormat="1" applyFont="1" applyFill="1" applyBorder="1" applyAlignment="1">
      <alignment horizontal="right" vertical="center"/>
    </xf>
    <xf numFmtId="166" fontId="7" fillId="0" borderId="52" xfId="2" applyNumberFormat="1" applyFont="1" applyFill="1" applyBorder="1" applyAlignment="1">
      <alignment horizontal="right" vertical="center"/>
    </xf>
    <xf numFmtId="166" fontId="32" fillId="0" borderId="53" xfId="2" applyNumberFormat="1" applyFont="1" applyFill="1" applyBorder="1" applyAlignment="1">
      <alignment horizontal="right" vertical="center"/>
    </xf>
    <xf numFmtId="166" fontId="32" fillId="0" borderId="51" xfId="2" applyNumberFormat="1" applyFont="1" applyFill="1" applyBorder="1" applyAlignment="1">
      <alignment horizontal="right" vertical="center"/>
    </xf>
    <xf numFmtId="166" fontId="32" fillId="0" borderId="52" xfId="2" applyNumberFormat="1" applyFont="1" applyFill="1" applyBorder="1" applyAlignment="1">
      <alignment horizontal="right" vertical="center"/>
    </xf>
    <xf numFmtId="0" fontId="14" fillId="0" borderId="35" xfId="2" applyNumberFormat="1" applyFont="1" applyBorder="1" applyAlignment="1">
      <alignment horizontal="left" vertical="center" wrapText="1"/>
    </xf>
    <xf numFmtId="166" fontId="33" fillId="0" borderId="46" xfId="2" applyNumberFormat="1" applyFont="1" applyFill="1" applyBorder="1" applyAlignment="1">
      <alignment horizontal="right" vertical="center"/>
    </xf>
    <xf numFmtId="166" fontId="33" fillId="0" borderId="44" xfId="2" applyNumberFormat="1" applyFont="1" applyFill="1" applyBorder="1" applyAlignment="1">
      <alignment horizontal="right" vertical="center"/>
    </xf>
    <xf numFmtId="166" fontId="33" fillId="0" borderId="45" xfId="2" applyNumberFormat="1" applyFont="1" applyFill="1" applyBorder="1" applyAlignment="1">
      <alignment horizontal="right" vertical="center"/>
    </xf>
    <xf numFmtId="166" fontId="31" fillId="0" borderId="0" xfId="2" applyNumberFormat="1" applyFont="1" applyFill="1" applyBorder="1" applyAlignment="1">
      <alignment horizontal="right" vertical="center"/>
    </xf>
    <xf numFmtId="166" fontId="32" fillId="0" borderId="1" xfId="2" applyNumberFormat="1" applyFont="1" applyFill="1" applyBorder="1" applyAlignment="1">
      <alignment horizontal="right" vertical="center"/>
    </xf>
    <xf numFmtId="166" fontId="32" fillId="0" borderId="2" xfId="2" applyNumberFormat="1" applyFont="1" applyFill="1" applyBorder="1" applyAlignment="1">
      <alignment horizontal="right" vertical="center"/>
    </xf>
    <xf numFmtId="166" fontId="32" fillId="0" borderId="3" xfId="2" applyNumberFormat="1" applyFont="1" applyFill="1" applyBorder="1" applyAlignment="1">
      <alignment horizontal="right" vertical="center"/>
    </xf>
    <xf numFmtId="9" fontId="8" fillId="0" borderId="0" xfId="2" applyNumberFormat="1" applyFont="1" applyAlignment="1">
      <alignment vertical="center"/>
    </xf>
    <xf numFmtId="166" fontId="32" fillId="0" borderId="48" xfId="2" applyNumberFormat="1" applyFont="1" applyFill="1" applyBorder="1" applyAlignment="1">
      <alignment horizontal="right" vertical="center"/>
    </xf>
    <xf numFmtId="166" fontId="13" fillId="0" borderId="48" xfId="2" applyNumberFormat="1" applyFont="1" applyFill="1" applyBorder="1" applyAlignment="1">
      <alignment horizontal="right" vertical="center"/>
    </xf>
    <xf numFmtId="0" fontId="5" fillId="0" borderId="12" xfId="14" applyFont="1" applyBorder="1" applyAlignment="1">
      <alignment horizontal="left" indent="1"/>
    </xf>
    <xf numFmtId="166" fontId="7" fillId="0" borderId="13" xfId="2" applyNumberFormat="1" applyFont="1" applyFill="1" applyBorder="1" applyAlignment="1">
      <alignment horizontal="right" vertical="center"/>
    </xf>
    <xf numFmtId="166" fontId="7" fillId="0" borderId="14" xfId="2" applyNumberFormat="1" applyFont="1" applyFill="1" applyBorder="1" applyAlignment="1">
      <alignment horizontal="right" vertical="center"/>
    </xf>
    <xf numFmtId="166" fontId="32" fillId="0" borderId="54" xfId="2" applyNumberFormat="1" applyFont="1" applyFill="1" applyBorder="1" applyAlignment="1">
      <alignment horizontal="right" vertical="center"/>
    </xf>
    <xf numFmtId="166" fontId="32" fillId="0" borderId="13" xfId="2" applyNumberFormat="1" applyFont="1" applyFill="1" applyBorder="1" applyAlignment="1">
      <alignment horizontal="right" vertical="center"/>
    </xf>
    <xf numFmtId="166" fontId="32" fillId="0" borderId="14" xfId="2" applyNumberFormat="1" applyFont="1" applyFill="1" applyBorder="1" applyAlignment="1">
      <alignment horizontal="right" vertical="center"/>
    </xf>
    <xf numFmtId="166" fontId="8" fillId="0" borderId="0" xfId="2" applyNumberFormat="1" applyFont="1" applyAlignment="1">
      <alignment vertical="center"/>
    </xf>
    <xf numFmtId="166" fontId="7" fillId="0" borderId="0" xfId="2" applyNumberFormat="1" applyFont="1" applyAlignment="1">
      <alignment vertical="center"/>
    </xf>
    <xf numFmtId="4" fontId="8" fillId="0" borderId="55" xfId="2" applyNumberFormat="1" applyFont="1" applyBorder="1" applyAlignment="1">
      <alignment horizontal="center" vertical="center"/>
    </xf>
    <xf numFmtId="0" fontId="8" fillId="8" borderId="15" xfId="3" applyFont="1" applyFill="1" applyBorder="1" applyAlignment="1">
      <alignment horizontal="left" vertical="center"/>
    </xf>
    <xf numFmtId="167" fontId="14" fillId="0" borderId="43" xfId="3" applyNumberFormat="1" applyFont="1" applyBorder="1" applyAlignment="1">
      <alignment horizontal="right" vertical="center"/>
    </xf>
    <xf numFmtId="167" fontId="14" fillId="0" borderId="44" xfId="3" applyNumberFormat="1" applyFont="1" applyBorder="1" applyAlignment="1">
      <alignment horizontal="right" vertical="center"/>
    </xf>
    <xf numFmtId="167" fontId="14" fillId="0" borderId="44" xfId="2" applyNumberFormat="1" applyFont="1" applyFill="1" applyBorder="1" applyAlignment="1">
      <alignment horizontal="right" vertical="center"/>
    </xf>
    <xf numFmtId="167" fontId="14" fillId="0" borderId="45" xfId="2" applyNumberFormat="1" applyFont="1" applyBorder="1" applyAlignment="1">
      <alignment horizontal="right" vertical="center"/>
    </xf>
    <xf numFmtId="166" fontId="31" fillId="0" borderId="46" xfId="2" applyNumberFormat="1" applyFont="1" applyBorder="1" applyAlignment="1">
      <alignment horizontal="right" vertical="center"/>
    </xf>
    <xf numFmtId="166" fontId="31" fillId="0" borderId="44" xfId="2" applyNumberFormat="1" applyFont="1" applyBorder="1" applyAlignment="1">
      <alignment horizontal="right" vertical="center"/>
    </xf>
    <xf numFmtId="166" fontId="31" fillId="0" borderId="45" xfId="2" applyNumberFormat="1" applyFont="1" applyBorder="1" applyAlignment="1">
      <alignment horizontal="right" vertical="center"/>
    </xf>
    <xf numFmtId="167" fontId="7" fillId="0" borderId="48" xfId="3" applyNumberFormat="1" applyFont="1" applyBorder="1" applyAlignment="1">
      <alignment horizontal="right" vertical="center"/>
    </xf>
    <xf numFmtId="167" fontId="7" fillId="0" borderId="38" xfId="3" applyNumberFormat="1" applyFont="1" applyBorder="1" applyAlignment="1">
      <alignment horizontal="right" vertical="center"/>
    </xf>
    <xf numFmtId="167" fontId="7" fillId="0" borderId="38" xfId="2" applyNumberFormat="1" applyFont="1" applyFill="1" applyBorder="1" applyAlignment="1">
      <alignment horizontal="right" vertical="center"/>
    </xf>
    <xf numFmtId="167" fontId="7" fillId="0" borderId="49" xfId="2" applyNumberFormat="1" applyFont="1" applyBorder="1" applyAlignment="1">
      <alignment horizontal="right" vertical="center"/>
    </xf>
    <xf numFmtId="166" fontId="32" fillId="0" borderId="40" xfId="2" applyNumberFormat="1" applyFont="1" applyBorder="1" applyAlignment="1">
      <alignment horizontal="right" vertical="center"/>
    </xf>
    <xf numFmtId="166" fontId="32" fillId="0" borderId="38" xfId="2" applyNumberFormat="1" applyFont="1" applyBorder="1" applyAlignment="1">
      <alignment horizontal="right" vertical="center"/>
    </xf>
    <xf numFmtId="166" fontId="32" fillId="0" borderId="49" xfId="2" applyNumberFormat="1" applyFont="1" applyBorder="1" applyAlignment="1">
      <alignment horizontal="right" vertical="center"/>
    </xf>
    <xf numFmtId="167" fontId="7" fillId="0" borderId="4" xfId="3" applyNumberFormat="1" applyFont="1" applyBorder="1" applyAlignment="1">
      <alignment horizontal="right" vertical="center"/>
    </xf>
    <xf numFmtId="167" fontId="7" fillId="0" borderId="5" xfId="3" applyNumberFormat="1" applyFont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6" fontId="32" fillId="0" borderId="5" xfId="2" applyNumberFormat="1" applyFont="1" applyBorder="1" applyAlignment="1">
      <alignment horizontal="right" vertical="center"/>
    </xf>
    <xf numFmtId="166" fontId="32" fillId="0" borderId="6" xfId="2" applyNumberFormat="1" applyFont="1" applyBorder="1" applyAlignment="1">
      <alignment horizontal="right" vertical="center"/>
    </xf>
    <xf numFmtId="167" fontId="7" fillId="0" borderId="7" xfId="3" applyNumberFormat="1" applyFont="1" applyBorder="1" applyAlignment="1">
      <alignment horizontal="right" vertical="center"/>
    </xf>
    <xf numFmtId="167" fontId="7" fillId="0" borderId="9" xfId="3" applyNumberFormat="1" applyFont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7" fontId="7" fillId="0" borderId="41" xfId="2" applyNumberFormat="1" applyFont="1" applyBorder="1" applyAlignment="1">
      <alignment horizontal="right" vertical="center"/>
    </xf>
    <xf numFmtId="166" fontId="32" fillId="0" borderId="9" xfId="2" applyNumberFormat="1" applyFont="1" applyBorder="1" applyAlignment="1">
      <alignment horizontal="right" vertical="center"/>
    </xf>
    <xf numFmtId="166" fontId="32" fillId="0" borderId="41" xfId="2" applyNumberFormat="1" applyFont="1" applyBorder="1" applyAlignment="1">
      <alignment horizontal="right" vertical="center"/>
    </xf>
    <xf numFmtId="167" fontId="14" fillId="0" borderId="43" xfId="2" applyNumberFormat="1" applyFont="1" applyBorder="1" applyAlignment="1">
      <alignment horizontal="right" vertical="center" wrapText="1"/>
    </xf>
    <xf numFmtId="166" fontId="33" fillId="0" borderId="46" xfId="2" applyNumberFormat="1" applyFont="1" applyBorder="1" applyAlignment="1">
      <alignment horizontal="right" vertical="center"/>
    </xf>
    <xf numFmtId="166" fontId="33" fillId="0" borderId="44" xfId="2" applyNumberFormat="1" applyFont="1" applyBorder="1" applyAlignment="1">
      <alignment horizontal="right" vertical="center"/>
    </xf>
    <xf numFmtId="166" fontId="33" fillId="0" borderId="45" xfId="2" applyNumberFormat="1" applyFont="1" applyBorder="1" applyAlignment="1">
      <alignment horizontal="right" vertical="center"/>
    </xf>
    <xf numFmtId="167" fontId="34" fillId="0" borderId="48" xfId="2" applyNumberFormat="1" applyFont="1" applyBorder="1" applyAlignment="1">
      <alignment horizontal="right" vertical="center"/>
    </xf>
    <xf numFmtId="167" fontId="34" fillId="0" borderId="38" xfId="2" applyNumberFormat="1" applyFont="1" applyFill="1" applyBorder="1" applyAlignment="1">
      <alignment horizontal="right" vertical="center"/>
    </xf>
    <xf numFmtId="167" fontId="34" fillId="0" borderId="49" xfId="2" applyNumberFormat="1" applyFont="1" applyBorder="1" applyAlignment="1">
      <alignment horizontal="right" vertical="center"/>
    </xf>
    <xf numFmtId="167" fontId="34" fillId="0" borderId="4" xfId="2" applyNumberFormat="1" applyFont="1" applyBorder="1" applyAlignment="1">
      <alignment horizontal="right" vertical="center"/>
    </xf>
    <xf numFmtId="167" fontId="34" fillId="0" borderId="5" xfId="3" applyNumberFormat="1" applyFont="1" applyBorder="1" applyAlignment="1">
      <alignment horizontal="right" vertical="center"/>
    </xf>
    <xf numFmtId="167" fontId="34" fillId="0" borderId="5" xfId="2" applyNumberFormat="1" applyFont="1" applyFill="1" applyBorder="1" applyAlignment="1">
      <alignment horizontal="right" vertical="center"/>
    </xf>
    <xf numFmtId="167" fontId="34" fillId="0" borderId="6" xfId="2" applyNumberFormat="1" applyFont="1" applyBorder="1" applyAlignment="1">
      <alignment horizontal="right" vertical="center"/>
    </xf>
    <xf numFmtId="167" fontId="34" fillId="0" borderId="8" xfId="2" applyNumberFormat="1" applyFont="1" applyBorder="1" applyAlignment="1">
      <alignment horizontal="right" vertical="center"/>
    </xf>
    <xf numFmtId="167" fontId="34" fillId="0" borderId="13" xfId="3" applyNumberFormat="1" applyFont="1" applyBorder="1" applyAlignment="1">
      <alignment horizontal="right" vertical="center"/>
    </xf>
    <xf numFmtId="167" fontId="34" fillId="0" borderId="13" xfId="2" applyNumberFormat="1" applyFont="1" applyFill="1" applyBorder="1" applyAlignment="1">
      <alignment horizontal="right" vertical="center"/>
    </xf>
    <xf numFmtId="167" fontId="34" fillId="0" borderId="14" xfId="2" applyNumberFormat="1" applyFont="1" applyBorder="1" applyAlignment="1">
      <alignment horizontal="right" vertical="center"/>
    </xf>
    <xf numFmtId="0" fontId="8" fillId="8" borderId="43" xfId="3" applyFont="1" applyFill="1" applyBorder="1" applyAlignment="1">
      <alignment horizontal="left" vertical="center"/>
    </xf>
    <xf numFmtId="167" fontId="14" fillId="0" borderId="45" xfId="2" applyNumberFormat="1" applyFont="1" applyFill="1" applyBorder="1" applyAlignment="1">
      <alignment horizontal="right" vertical="center"/>
    </xf>
    <xf numFmtId="167" fontId="7" fillId="0" borderId="49" xfId="2" applyNumberFormat="1" applyFont="1" applyFill="1" applyBorder="1" applyAlignment="1">
      <alignment horizontal="right" vertical="center"/>
    </xf>
    <xf numFmtId="167" fontId="7" fillId="0" borderId="6" xfId="2" applyNumberFormat="1" applyFont="1" applyFill="1" applyBorder="1" applyAlignment="1">
      <alignment horizontal="right" vertical="center"/>
    </xf>
    <xf numFmtId="167" fontId="7" fillId="0" borderId="41" xfId="2" applyNumberFormat="1" applyFont="1" applyFill="1" applyBorder="1" applyAlignment="1">
      <alignment horizontal="right" vertical="center"/>
    </xf>
    <xf numFmtId="167" fontId="7" fillId="0" borderId="48" xfId="2" applyNumberFormat="1" applyFont="1" applyBorder="1" applyAlignment="1">
      <alignment horizontal="right" vertical="center" wrapText="1"/>
    </xf>
    <xf numFmtId="167" fontId="7" fillId="0" borderId="4" xfId="2" applyNumberFormat="1" applyFont="1" applyBorder="1" applyAlignment="1">
      <alignment horizontal="right" vertical="center" wrapText="1"/>
    </xf>
    <xf numFmtId="167" fontId="7" fillId="0" borderId="7" xfId="2" applyNumberFormat="1" applyFont="1" applyBorder="1" applyAlignment="1">
      <alignment horizontal="right" vertical="center" wrapText="1"/>
    </xf>
    <xf numFmtId="0" fontId="8" fillId="8" borderId="35" xfId="2" applyFont="1" applyFill="1" applyBorder="1" applyAlignment="1">
      <alignment vertical="center"/>
    </xf>
    <xf numFmtId="167" fontId="14" fillId="0" borderId="45" xfId="3" applyNumberFormat="1" applyFont="1" applyBorder="1" applyAlignment="1">
      <alignment horizontal="right" vertical="center"/>
    </xf>
    <xf numFmtId="166" fontId="32" fillId="0" borderId="55" xfId="2" applyNumberFormat="1" applyFont="1" applyBorder="1" applyAlignment="1">
      <alignment horizontal="right" vertical="center"/>
    </xf>
    <xf numFmtId="166" fontId="32" fillId="0" borderId="42" xfId="2" applyNumberFormat="1" applyFont="1" applyBorder="1" applyAlignment="1">
      <alignment horizontal="right" vertical="center"/>
    </xf>
    <xf numFmtId="167" fontId="14" fillId="0" borderId="44" xfId="2" applyNumberFormat="1" applyFont="1" applyBorder="1" applyAlignment="1">
      <alignment horizontal="right" vertical="center" wrapText="1"/>
    </xf>
    <xf numFmtId="167" fontId="14" fillId="0" borderId="45" xfId="2" applyNumberFormat="1" applyFont="1" applyBorder="1" applyAlignment="1">
      <alignment horizontal="right" vertical="center" wrapText="1"/>
    </xf>
    <xf numFmtId="167" fontId="7" fillId="0" borderId="0" xfId="2" applyNumberFormat="1" applyFont="1" applyAlignment="1">
      <alignment vertical="center"/>
    </xf>
    <xf numFmtId="167" fontId="7" fillId="0" borderId="8" xfId="3" applyNumberFormat="1" applyFont="1" applyBorder="1" applyAlignment="1">
      <alignment horizontal="right" vertical="center"/>
    </xf>
    <xf numFmtId="167" fontId="7" fillId="0" borderId="13" xfId="3" applyNumberFormat="1" applyFont="1" applyBorder="1" applyAlignment="1">
      <alignment horizontal="right" vertical="center"/>
    </xf>
    <xf numFmtId="167" fontId="7" fillId="0" borderId="13" xfId="2" applyNumberFormat="1" applyFont="1" applyFill="1" applyBorder="1" applyAlignment="1">
      <alignment horizontal="right" vertical="center"/>
    </xf>
    <xf numFmtId="166" fontId="32" fillId="0" borderId="1" xfId="2" applyNumberFormat="1" applyFont="1" applyBorder="1" applyAlignment="1">
      <alignment horizontal="right" vertical="center"/>
    </xf>
    <xf numFmtId="166" fontId="32" fillId="0" borderId="2" xfId="2" applyNumberFormat="1" applyFont="1" applyBorder="1" applyAlignment="1">
      <alignment horizontal="right" vertical="center"/>
    </xf>
    <xf numFmtId="166" fontId="32" fillId="0" borderId="3" xfId="2" applyNumberFormat="1" applyFont="1" applyBorder="1" applyAlignment="1">
      <alignment horizontal="right" vertical="center"/>
    </xf>
    <xf numFmtId="166" fontId="32" fillId="0" borderId="48" xfId="2" applyNumberFormat="1" applyFont="1" applyBorder="1" applyAlignment="1">
      <alignment horizontal="right" vertical="center"/>
    </xf>
    <xf numFmtId="167" fontId="7" fillId="0" borderId="8" xfId="2" applyNumberFormat="1" applyFont="1" applyBorder="1" applyAlignment="1">
      <alignment horizontal="right" vertical="center" wrapText="1"/>
    </xf>
    <xf numFmtId="166" fontId="32" fillId="0" borderId="54" xfId="2" applyNumberFormat="1" applyFont="1" applyBorder="1" applyAlignment="1">
      <alignment horizontal="right" vertical="center"/>
    </xf>
    <xf numFmtId="166" fontId="32" fillId="0" borderId="13" xfId="2" applyNumberFormat="1" applyFont="1" applyBorder="1" applyAlignment="1">
      <alignment horizontal="right" vertical="center"/>
    </xf>
    <xf numFmtId="166" fontId="32" fillId="0" borderId="14" xfId="2" applyNumberFormat="1" applyFont="1" applyBorder="1" applyAlignment="1">
      <alignment horizontal="right" vertical="center"/>
    </xf>
    <xf numFmtId="0" fontId="5" fillId="0" borderId="0" xfId="14" applyFont="1" applyBorder="1" applyAlignment="1">
      <alignment horizontal="left" indent="1"/>
    </xf>
    <xf numFmtId="167" fontId="7" fillId="0" borderId="0" xfId="2" applyNumberFormat="1" applyFont="1" applyBorder="1" applyAlignment="1">
      <alignment horizontal="right" vertical="center" wrapText="1"/>
    </xf>
    <xf numFmtId="167" fontId="7" fillId="0" borderId="0" xfId="3" applyNumberFormat="1" applyFont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67" fontId="7" fillId="0" borderId="0" xfId="2" applyNumberFormat="1" applyFont="1" applyBorder="1" applyAlignment="1">
      <alignment horizontal="right" vertical="center"/>
    </xf>
    <xf numFmtId="166" fontId="7" fillId="0" borderId="0" xfId="2" applyNumberFormat="1" applyFont="1" applyBorder="1" applyAlignment="1">
      <alignment horizontal="right" vertical="center"/>
    </xf>
    <xf numFmtId="166" fontId="7" fillId="0" borderId="0" xfId="2" applyNumberFormat="1" applyFont="1" applyBorder="1" applyAlignment="1">
      <alignment vertical="center"/>
    </xf>
    <xf numFmtId="0" fontId="14" fillId="8" borderId="11" xfId="3" applyFont="1" applyFill="1" applyBorder="1" applyAlignment="1">
      <alignment horizontal="left" vertical="center"/>
    </xf>
    <xf numFmtId="0" fontId="14" fillId="0" borderId="43" xfId="3" applyFont="1" applyBorder="1" applyAlignment="1">
      <alignment horizontal="left" vertical="center"/>
    </xf>
    <xf numFmtId="167" fontId="14" fillId="0" borderId="44" xfId="2" applyNumberFormat="1" applyFont="1" applyFill="1" applyBorder="1" applyAlignment="1">
      <alignment vertical="center"/>
    </xf>
    <xf numFmtId="167" fontId="31" fillId="0" borderId="43" xfId="4" applyNumberFormat="1" applyFont="1" applyBorder="1"/>
    <xf numFmtId="167" fontId="31" fillId="0" borderId="44" xfId="2" applyNumberFormat="1" applyFont="1" applyBorder="1" applyAlignment="1">
      <alignment horizontal="right" vertical="center"/>
    </xf>
    <xf numFmtId="167" fontId="31" fillId="0" borderId="45" xfId="2" applyNumberFormat="1" applyFont="1" applyBorder="1" applyAlignment="1">
      <alignment horizontal="right" vertical="center"/>
    </xf>
    <xf numFmtId="0" fontId="5" fillId="0" borderId="48" xfId="14" applyFont="1" applyBorder="1" applyAlignment="1">
      <alignment horizontal="left" indent="1"/>
    </xf>
    <xf numFmtId="167" fontId="7" fillId="0" borderId="38" xfId="2" applyNumberFormat="1" applyFont="1" applyFill="1" applyBorder="1" applyAlignment="1">
      <alignment vertical="center"/>
    </xf>
    <xf numFmtId="167" fontId="32" fillId="0" borderId="48" xfId="4" applyNumberFormat="1" applyFont="1" applyBorder="1"/>
    <xf numFmtId="167" fontId="32" fillId="0" borderId="38" xfId="2" applyNumberFormat="1" applyFont="1" applyBorder="1" applyAlignment="1">
      <alignment horizontal="right" vertical="center"/>
    </xf>
    <xf numFmtId="167" fontId="32" fillId="0" borderId="49" xfId="2" applyNumberFormat="1" applyFont="1" applyBorder="1" applyAlignment="1">
      <alignment horizontal="right" vertical="center"/>
    </xf>
    <xf numFmtId="0" fontId="5" fillId="0" borderId="4" xfId="14" applyFont="1" applyBorder="1" applyAlignment="1">
      <alignment horizontal="left" indent="1"/>
    </xf>
    <xf numFmtId="167" fontId="7" fillId="0" borderId="5" xfId="2" applyNumberFormat="1" applyFont="1" applyFill="1" applyBorder="1" applyAlignment="1">
      <alignment vertical="center"/>
    </xf>
    <xf numFmtId="167" fontId="32" fillId="0" borderId="4" xfId="4" applyNumberFormat="1" applyFont="1" applyBorder="1"/>
    <xf numFmtId="167" fontId="32" fillId="0" borderId="5" xfId="2" applyNumberFormat="1" applyFont="1" applyBorder="1" applyAlignment="1">
      <alignment horizontal="right" vertical="center"/>
    </xf>
    <xf numFmtId="167" fontId="32" fillId="0" borderId="6" xfId="2" applyNumberFormat="1" applyFont="1" applyBorder="1" applyAlignment="1">
      <alignment horizontal="right" vertical="center"/>
    </xf>
    <xf numFmtId="0" fontId="5" fillId="0" borderId="7" xfId="14" applyFont="1" applyBorder="1" applyAlignment="1">
      <alignment horizontal="left" indent="1"/>
    </xf>
    <xf numFmtId="167" fontId="7" fillId="0" borderId="9" xfId="2" applyNumberFormat="1" applyFont="1" applyFill="1" applyBorder="1" applyAlignment="1">
      <alignment vertical="center"/>
    </xf>
    <xf numFmtId="167" fontId="32" fillId="0" borderId="7" xfId="4" applyNumberFormat="1" applyFont="1" applyBorder="1"/>
    <xf numFmtId="167" fontId="32" fillId="0" borderId="9" xfId="2" applyNumberFormat="1" applyFont="1" applyBorder="1" applyAlignment="1">
      <alignment horizontal="right" vertical="center"/>
    </xf>
    <xf numFmtId="167" fontId="32" fillId="0" borderId="41" xfId="2" applyNumberFormat="1" applyFont="1" applyBorder="1" applyAlignment="1">
      <alignment horizontal="right" vertical="center"/>
    </xf>
    <xf numFmtId="0" fontId="14" fillId="0" borderId="43" xfId="2" applyNumberFormat="1" applyFont="1" applyBorder="1" applyAlignment="1">
      <alignment horizontal="left" vertical="center" wrapText="1"/>
    </xf>
    <xf numFmtId="167" fontId="31" fillId="0" borderId="43" xfId="2" applyNumberFormat="1" applyFont="1" applyBorder="1" applyAlignment="1">
      <alignment horizontal="right" vertical="center"/>
    </xf>
    <xf numFmtId="0" fontId="5" fillId="0" borderId="8" xfId="14" applyFont="1" applyBorder="1" applyAlignment="1">
      <alignment horizontal="left" indent="1"/>
    </xf>
    <xf numFmtId="167" fontId="7" fillId="0" borderId="13" xfId="2" applyNumberFormat="1" applyFont="1" applyFill="1" applyBorder="1" applyAlignment="1">
      <alignment vertical="center"/>
    </xf>
    <xf numFmtId="167" fontId="32" fillId="0" borderId="8" xfId="4" applyNumberFormat="1" applyFont="1" applyBorder="1"/>
    <xf numFmtId="167" fontId="32" fillId="0" borderId="13" xfId="2" applyNumberFormat="1" applyFont="1" applyBorder="1" applyAlignment="1">
      <alignment horizontal="right" vertical="center"/>
    </xf>
    <xf numFmtId="167" fontId="32" fillId="0" borderId="14" xfId="2" applyNumberFormat="1" applyFont="1" applyBorder="1" applyAlignment="1">
      <alignment horizontal="right" vertical="center"/>
    </xf>
    <xf numFmtId="167" fontId="32" fillId="0" borderId="48" xfId="2" applyNumberFormat="1" applyFont="1" applyBorder="1" applyAlignment="1">
      <alignment horizontal="right" vertical="center"/>
    </xf>
    <xf numFmtId="167" fontId="33" fillId="0" borderId="43" xfId="2" applyNumberFormat="1" applyFont="1" applyBorder="1" applyAlignment="1">
      <alignment horizontal="right" vertical="center"/>
    </xf>
    <xf numFmtId="167" fontId="33" fillId="0" borderId="44" xfId="2" applyNumberFormat="1" applyFont="1" applyBorder="1" applyAlignment="1">
      <alignment horizontal="right" vertical="center"/>
    </xf>
    <xf numFmtId="167" fontId="33" fillId="0" borderId="45" xfId="2" applyNumberFormat="1" applyFont="1" applyBorder="1" applyAlignment="1">
      <alignment horizontal="right" vertical="center"/>
    </xf>
    <xf numFmtId="167" fontId="32" fillId="0" borderId="1" xfId="2" applyNumberFormat="1" applyFont="1" applyBorder="1" applyAlignment="1">
      <alignment horizontal="right" vertical="center"/>
    </xf>
    <xf numFmtId="167" fontId="32" fillId="0" borderId="2" xfId="2" applyNumberFormat="1" applyFont="1" applyBorder="1" applyAlignment="1">
      <alignment horizontal="right" vertical="center"/>
    </xf>
    <xf numFmtId="167" fontId="32" fillId="0" borderId="3" xfId="2" applyNumberFormat="1" applyFont="1" applyBorder="1" applyAlignment="1">
      <alignment horizontal="right" vertical="center"/>
    </xf>
    <xf numFmtId="167" fontId="32" fillId="0" borderId="54" xfId="2" applyNumberFormat="1" applyFont="1" applyBorder="1" applyAlignment="1">
      <alignment horizontal="right" vertical="center"/>
    </xf>
    <xf numFmtId="167" fontId="31" fillId="0" borderId="43" xfId="2" applyNumberFormat="1" applyFont="1" applyFill="1" applyBorder="1" applyAlignment="1">
      <alignment vertical="center"/>
    </xf>
    <xf numFmtId="167" fontId="32" fillId="0" borderId="48" xfId="2" applyNumberFormat="1" applyFont="1" applyFill="1" applyBorder="1" applyAlignment="1">
      <alignment vertical="center"/>
    </xf>
    <xf numFmtId="167" fontId="33" fillId="0" borderId="43" xfId="2" applyNumberFormat="1" applyFont="1" applyFill="1" applyBorder="1" applyAlignment="1">
      <alignment vertical="center"/>
    </xf>
    <xf numFmtId="167" fontId="32" fillId="0" borderId="1" xfId="2" applyNumberFormat="1" applyFont="1" applyFill="1" applyBorder="1" applyAlignment="1">
      <alignment vertical="center"/>
    </xf>
    <xf numFmtId="167" fontId="32" fillId="0" borderId="54" xfId="2" applyNumberFormat="1" applyFont="1" applyFill="1" applyBorder="1" applyAlignment="1">
      <alignment vertical="center"/>
    </xf>
    <xf numFmtId="167" fontId="31" fillId="0" borderId="44" xfId="3" applyNumberFormat="1" applyFont="1" applyBorder="1" applyAlignment="1">
      <alignment horizontal="right" vertical="center"/>
    </xf>
    <xf numFmtId="167" fontId="31" fillId="0" borderId="44" xfId="2" applyNumberFormat="1" applyFont="1" applyFill="1" applyBorder="1" applyAlignment="1">
      <alignment vertical="center"/>
    </xf>
    <xf numFmtId="167" fontId="32" fillId="0" borderId="48" xfId="3" applyNumberFormat="1" applyFont="1" applyBorder="1" applyAlignment="1">
      <alignment horizontal="right" vertical="center"/>
    </xf>
    <xf numFmtId="167" fontId="32" fillId="0" borderId="38" xfId="3" applyNumberFormat="1" applyFont="1" applyBorder="1" applyAlignment="1">
      <alignment horizontal="right" vertical="center"/>
    </xf>
    <xf numFmtId="167" fontId="32" fillId="0" borderId="38" xfId="2" applyNumberFormat="1" applyFont="1" applyFill="1" applyBorder="1" applyAlignment="1">
      <alignment vertical="center"/>
    </xf>
    <xf numFmtId="167" fontId="32" fillId="0" borderId="4" xfId="3" applyNumberFormat="1" applyFont="1" applyBorder="1" applyAlignment="1">
      <alignment horizontal="right" vertical="center"/>
    </xf>
    <xf numFmtId="167" fontId="32" fillId="0" borderId="5" xfId="3" applyNumberFormat="1" applyFont="1" applyBorder="1" applyAlignment="1">
      <alignment horizontal="right" vertical="center"/>
    </xf>
    <xf numFmtId="167" fontId="32" fillId="0" borderId="5" xfId="2" applyNumberFormat="1" applyFont="1" applyFill="1" applyBorder="1" applyAlignment="1">
      <alignment vertical="center"/>
    </xf>
    <xf numFmtId="167" fontId="32" fillId="0" borderId="4" xfId="2" applyNumberFormat="1" applyFont="1" applyFill="1" applyBorder="1" applyAlignment="1">
      <alignment vertical="center"/>
    </xf>
    <xf numFmtId="167" fontId="32" fillId="0" borderId="7" xfId="3" applyNumberFormat="1" applyFont="1" applyBorder="1" applyAlignment="1">
      <alignment horizontal="right" vertical="center"/>
    </xf>
    <xf numFmtId="167" fontId="32" fillId="0" borderId="9" xfId="3" applyNumberFormat="1" applyFont="1" applyBorder="1" applyAlignment="1">
      <alignment horizontal="right" vertical="center"/>
    </xf>
    <xf numFmtId="167" fontId="32" fillId="0" borderId="9" xfId="2" applyNumberFormat="1" applyFont="1" applyFill="1" applyBorder="1" applyAlignment="1">
      <alignment vertical="center"/>
    </xf>
    <xf numFmtId="167" fontId="32" fillId="0" borderId="7" xfId="2" applyNumberFormat="1" applyFont="1" applyFill="1" applyBorder="1" applyAlignment="1">
      <alignment vertical="center"/>
    </xf>
    <xf numFmtId="167" fontId="33" fillId="0" borderId="44" xfId="3" applyNumberFormat="1" applyFont="1" applyBorder="1" applyAlignment="1">
      <alignment horizontal="right" vertical="center"/>
    </xf>
    <xf numFmtId="167" fontId="33" fillId="0" borderId="44" xfId="2" applyNumberFormat="1" applyFont="1" applyFill="1" applyBorder="1" applyAlignment="1">
      <alignment vertical="center"/>
    </xf>
    <xf numFmtId="167" fontId="32" fillId="0" borderId="8" xfId="3" applyNumberFormat="1" applyFont="1" applyBorder="1" applyAlignment="1">
      <alignment horizontal="right" vertical="center"/>
    </xf>
    <xf numFmtId="167" fontId="32" fillId="0" borderId="13" xfId="3" applyNumberFormat="1" applyFont="1" applyBorder="1" applyAlignment="1">
      <alignment horizontal="right" vertical="center"/>
    </xf>
    <xf numFmtId="167" fontId="32" fillId="0" borderId="13" xfId="2" applyNumberFormat="1" applyFont="1" applyFill="1" applyBorder="1" applyAlignment="1">
      <alignment vertical="center"/>
    </xf>
    <xf numFmtId="167" fontId="32" fillId="0" borderId="8" xfId="2" applyNumberFormat="1" applyFont="1" applyFill="1" applyBorder="1" applyAlignment="1">
      <alignment vertical="center"/>
    </xf>
    <xf numFmtId="0" fontId="14" fillId="8" borderId="15" xfId="3" applyFont="1" applyFill="1" applyBorder="1" applyAlignment="1">
      <alignment horizontal="left" vertical="center"/>
    </xf>
    <xf numFmtId="167" fontId="30" fillId="0" borderId="43" xfId="2" applyNumberFormat="1" applyFont="1" applyFill="1" applyBorder="1" applyAlignment="1">
      <alignment vertical="center"/>
    </xf>
    <xf numFmtId="167" fontId="30" fillId="0" borderId="44" xfId="3" applyNumberFormat="1" applyFont="1" applyBorder="1" applyAlignment="1">
      <alignment horizontal="right" vertical="center"/>
    </xf>
    <xf numFmtId="167" fontId="30" fillId="0" borderId="44" xfId="2" applyNumberFormat="1" applyFont="1" applyFill="1" applyBorder="1" applyAlignment="1">
      <alignment vertical="center"/>
    </xf>
    <xf numFmtId="167" fontId="30" fillId="0" borderId="45" xfId="2" applyNumberFormat="1" applyFont="1" applyBorder="1" applyAlignment="1">
      <alignment horizontal="right" vertical="center"/>
    </xf>
    <xf numFmtId="167" fontId="30" fillId="0" borderId="44" xfId="2" applyNumberFormat="1" applyFont="1" applyBorder="1" applyAlignment="1">
      <alignment horizontal="right" vertical="center"/>
    </xf>
    <xf numFmtId="167" fontId="36" fillId="0" borderId="4" xfId="3" applyNumberFormat="1" applyFont="1" applyBorder="1" applyAlignment="1">
      <alignment horizontal="right" vertical="center"/>
    </xf>
    <xf numFmtId="167" fontId="36" fillId="0" borderId="5" xfId="3" applyNumberFormat="1" applyFont="1" applyBorder="1" applyAlignment="1">
      <alignment horizontal="right" vertical="center"/>
    </xf>
    <xf numFmtId="167" fontId="36" fillId="0" borderId="5" xfId="2" applyNumberFormat="1" applyFont="1" applyFill="1" applyBorder="1" applyAlignment="1">
      <alignment vertical="center"/>
    </xf>
    <xf numFmtId="167" fontId="36" fillId="0" borderId="6" xfId="2" applyNumberFormat="1" applyFont="1" applyBorder="1" applyAlignment="1">
      <alignment horizontal="right" vertical="center"/>
    </xf>
    <xf numFmtId="167" fontId="36" fillId="0" borderId="4" xfId="2" applyNumberFormat="1" applyFont="1" applyFill="1" applyBorder="1" applyAlignment="1">
      <alignment vertical="center"/>
    </xf>
    <xf numFmtId="167" fontId="36" fillId="0" borderId="5" xfId="2" applyNumberFormat="1" applyFont="1" applyBorder="1" applyAlignment="1">
      <alignment horizontal="right" vertical="center"/>
    </xf>
    <xf numFmtId="167" fontId="36" fillId="0" borderId="7" xfId="3" applyNumberFormat="1" applyFont="1" applyBorder="1" applyAlignment="1">
      <alignment horizontal="right" vertical="center"/>
    </xf>
    <xf numFmtId="167" fontId="36" fillId="0" borderId="9" xfId="3" applyNumberFormat="1" applyFont="1" applyBorder="1" applyAlignment="1">
      <alignment horizontal="right" vertical="center"/>
    </xf>
    <xf numFmtId="167" fontId="36" fillId="0" borderId="9" xfId="2" applyNumberFormat="1" applyFont="1" applyFill="1" applyBorder="1" applyAlignment="1">
      <alignment vertical="center"/>
    </xf>
    <xf numFmtId="167" fontId="36" fillId="0" borderId="41" xfId="2" applyNumberFormat="1" applyFont="1" applyBorder="1" applyAlignment="1">
      <alignment horizontal="right" vertical="center"/>
    </xf>
    <xf numFmtId="167" fontId="36" fillId="0" borderId="7" xfId="2" applyNumberFormat="1" applyFont="1" applyFill="1" applyBorder="1" applyAlignment="1">
      <alignment vertical="center"/>
    </xf>
    <xf numFmtId="167" fontId="36" fillId="0" borderId="9" xfId="2" applyNumberFormat="1" applyFont="1" applyBorder="1" applyAlignment="1">
      <alignment horizontal="right" vertical="center"/>
    </xf>
    <xf numFmtId="167" fontId="36" fillId="0" borderId="48" xfId="3" applyNumberFormat="1" applyFont="1" applyBorder="1" applyAlignment="1">
      <alignment horizontal="right" vertical="center"/>
    </xf>
    <xf numFmtId="167" fontId="36" fillId="0" borderId="38" xfId="3" applyNumberFormat="1" applyFont="1" applyBorder="1" applyAlignment="1">
      <alignment horizontal="right" vertical="center"/>
    </xf>
    <xf numFmtId="167" fontId="36" fillId="0" borderId="38" xfId="2" applyNumberFormat="1" applyFont="1" applyFill="1" applyBorder="1" applyAlignment="1">
      <alignment vertical="center"/>
    </xf>
    <xf numFmtId="167" fontId="36" fillId="0" borderId="49" xfId="2" applyNumberFormat="1" applyFont="1" applyBorder="1" applyAlignment="1">
      <alignment horizontal="right" vertical="center"/>
    </xf>
    <xf numFmtId="167" fontId="36" fillId="0" borderId="48" xfId="2" applyNumberFormat="1" applyFont="1" applyFill="1" applyBorder="1" applyAlignment="1">
      <alignment vertical="center"/>
    </xf>
    <xf numFmtId="167" fontId="36" fillId="0" borderId="38" xfId="2" applyNumberFormat="1" applyFont="1" applyBorder="1" applyAlignment="1">
      <alignment horizontal="right" vertical="center"/>
    </xf>
    <xf numFmtId="167" fontId="36" fillId="0" borderId="8" xfId="3" applyNumberFormat="1" applyFont="1" applyBorder="1" applyAlignment="1">
      <alignment horizontal="right" vertical="center"/>
    </xf>
    <xf numFmtId="167" fontId="36" fillId="0" borderId="13" xfId="3" applyNumberFormat="1" applyFont="1" applyBorder="1" applyAlignment="1">
      <alignment horizontal="right" vertical="center"/>
    </xf>
    <xf numFmtId="167" fontId="36" fillId="0" borderId="13" xfId="2" applyNumberFormat="1" applyFont="1" applyFill="1" applyBorder="1" applyAlignment="1">
      <alignment vertical="center"/>
    </xf>
    <xf numFmtId="167" fontId="36" fillId="0" borderId="14" xfId="2" applyNumberFormat="1" applyFont="1" applyBorder="1" applyAlignment="1">
      <alignment horizontal="right" vertical="center"/>
    </xf>
    <xf numFmtId="167" fontId="36" fillId="0" borderId="8" xfId="2" applyNumberFormat="1" applyFont="1" applyFill="1" applyBorder="1" applyAlignment="1">
      <alignment vertical="center"/>
    </xf>
    <xf numFmtId="167" fontId="36" fillId="0" borderId="13" xfId="2" applyNumberFormat="1" applyFont="1" applyBorder="1" applyAlignment="1">
      <alignment horizontal="right" vertical="center"/>
    </xf>
    <xf numFmtId="167" fontId="33" fillId="0" borderId="43" xfId="3" applyNumberFormat="1" applyFont="1" applyBorder="1" applyAlignment="1">
      <alignment horizontal="right" vertical="center"/>
    </xf>
    <xf numFmtId="0" fontId="14" fillId="8" borderId="7" xfId="3" applyFont="1" applyFill="1" applyBorder="1" applyAlignment="1">
      <alignment horizontal="left" vertical="center"/>
    </xf>
    <xf numFmtId="167" fontId="36" fillId="0" borderId="40" xfId="2" applyNumberFormat="1" applyFont="1" applyFill="1" applyBorder="1" applyAlignment="1">
      <alignment vertical="center"/>
    </xf>
    <xf numFmtId="167" fontId="36" fillId="0" borderId="60" xfId="2" applyNumberFormat="1" applyFont="1" applyFill="1" applyBorder="1" applyAlignment="1">
      <alignment vertical="center"/>
    </xf>
    <xf numFmtId="167" fontId="36" fillId="0" borderId="61" xfId="2" applyNumberFormat="1" applyFont="1" applyBorder="1" applyAlignment="1">
      <alignment horizontal="right" vertical="center"/>
    </xf>
    <xf numFmtId="167" fontId="36" fillId="0" borderId="62" xfId="2" applyNumberFormat="1" applyFont="1" applyBorder="1" applyAlignment="1">
      <alignment horizontal="right" vertical="center"/>
    </xf>
    <xf numFmtId="167" fontId="30" fillId="0" borderId="43" xfId="3" applyNumberFormat="1" applyFont="1" applyBorder="1" applyAlignment="1">
      <alignment horizontal="right" vertical="center"/>
    </xf>
    <xf numFmtId="167" fontId="36" fillId="0" borderId="16" xfId="2" applyNumberFormat="1" applyFont="1" applyFill="1" applyBorder="1" applyAlignment="1">
      <alignment vertical="center"/>
    </xf>
    <xf numFmtId="167" fontId="36" fillId="0" borderId="2" xfId="2" applyNumberFormat="1" applyFont="1" applyBorder="1" applyAlignment="1">
      <alignment horizontal="right" vertical="center"/>
    </xf>
    <xf numFmtId="167" fontId="36" fillId="0" borderId="3" xfId="2" applyNumberFormat="1" applyFont="1" applyBorder="1" applyAlignment="1">
      <alignment horizontal="right" vertical="center"/>
    </xf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6" borderId="0" xfId="0" applyFont="1" applyFill="1" applyAlignment="1">
      <alignment horizontal="center" vertical="center"/>
    </xf>
    <xf numFmtId="4" fontId="41" fillId="6" borderId="0" xfId="0" applyNumberFormat="1" applyFont="1" applyFill="1" applyAlignment="1">
      <alignment horizontal="center" vertical="center"/>
    </xf>
    <xf numFmtId="3" fontId="27" fillId="6" borderId="0" xfId="0" applyNumberFormat="1" applyFont="1" applyFill="1"/>
    <xf numFmtId="2" fontId="27" fillId="6" borderId="0" xfId="0" applyNumberFormat="1" applyFont="1" applyFill="1"/>
    <xf numFmtId="3" fontId="0" fillId="6" borderId="0" xfId="0" applyNumberFormat="1" applyFill="1"/>
    <xf numFmtId="0" fontId="0" fillId="6" borderId="0" xfId="0" applyFill="1"/>
    <xf numFmtId="0" fontId="38" fillId="0" borderId="0" xfId="0" applyFont="1" applyFill="1"/>
    <xf numFmtId="0" fontId="40" fillId="0" borderId="0" xfId="0" applyFont="1" applyFill="1"/>
    <xf numFmtId="0" fontId="40" fillId="6" borderId="0" xfId="0" applyFont="1" applyFill="1"/>
    <xf numFmtId="4" fontId="41" fillId="6" borderId="0" xfId="0" applyNumberFormat="1" applyFont="1" applyFill="1"/>
    <xf numFmtId="0" fontId="40" fillId="0" borderId="0" xfId="0" applyFont="1"/>
    <xf numFmtId="0" fontId="38" fillId="0" borderId="0" xfId="0" applyFont="1" applyFill="1" applyAlignment="1">
      <alignment horizontal="right"/>
    </xf>
    <xf numFmtId="0" fontId="38" fillId="6" borderId="0" xfId="0" applyFont="1" applyFill="1" applyAlignment="1">
      <alignment horizontal="right"/>
    </xf>
    <xf numFmtId="4" fontId="42" fillId="6" borderId="0" xfId="0" applyNumberFormat="1" applyFont="1" applyFill="1" applyAlignment="1">
      <alignment horizontal="right"/>
    </xf>
    <xf numFmtId="0" fontId="38" fillId="3" borderId="2" xfId="0" applyFont="1" applyFill="1" applyBorder="1" applyAlignment="1">
      <alignment horizontal="center" wrapText="1"/>
    </xf>
    <xf numFmtId="0" fontId="38" fillId="2" borderId="2" xfId="0" applyFont="1" applyFill="1" applyBorder="1" applyAlignment="1">
      <alignment horizontal="center" wrapText="1"/>
    </xf>
    <xf numFmtId="0" fontId="38" fillId="4" borderId="3" xfId="0" applyFont="1" applyFill="1" applyBorder="1" applyAlignment="1">
      <alignment horizontal="center" wrapText="1"/>
    </xf>
    <xf numFmtId="0" fontId="38" fillId="6" borderId="3" xfId="0" applyFont="1" applyFill="1" applyBorder="1" applyAlignment="1">
      <alignment horizontal="center" wrapText="1"/>
    </xf>
    <xf numFmtId="3" fontId="38" fillId="6" borderId="3" xfId="0" applyNumberFormat="1" applyFont="1" applyFill="1" applyBorder="1" applyAlignment="1">
      <alignment horizontal="center" wrapText="1"/>
    </xf>
    <xf numFmtId="2" fontId="38" fillId="6" borderId="3" xfId="0" applyNumberFormat="1" applyFont="1" applyFill="1" applyBorder="1" applyAlignment="1">
      <alignment horizontal="center" wrapText="1"/>
    </xf>
    <xf numFmtId="0" fontId="38" fillId="0" borderId="5" xfId="0" applyFont="1" applyFill="1" applyBorder="1" applyAlignment="1">
      <alignment horizontal="center"/>
    </xf>
    <xf numFmtId="0" fontId="38" fillId="0" borderId="6" xfId="0" applyFont="1" applyFill="1" applyBorder="1" applyAlignment="1">
      <alignment horizontal="center"/>
    </xf>
    <xf numFmtId="0" fontId="38" fillId="6" borderId="6" xfId="0" applyFont="1" applyFill="1" applyBorder="1" applyAlignment="1">
      <alignment horizontal="center"/>
    </xf>
    <xf numFmtId="4" fontId="42" fillId="6" borderId="0" xfId="0" applyNumberFormat="1" applyFont="1" applyFill="1" applyBorder="1" applyAlignment="1">
      <alignment horizontal="center"/>
    </xf>
    <xf numFmtId="0" fontId="42" fillId="0" borderId="5" xfId="0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37" fillId="0" borderId="0" xfId="0" applyFont="1" applyFill="1"/>
    <xf numFmtId="0" fontId="38" fillId="0" borderId="4" xfId="0" applyFont="1" applyFill="1" applyBorder="1" applyAlignment="1">
      <alignment horizontal="center" vertical="center"/>
    </xf>
    <xf numFmtId="0" fontId="40" fillId="0" borderId="63" xfId="0" applyFont="1" applyFill="1" applyBorder="1" applyAlignment="1">
      <alignment horizontal="right"/>
    </xf>
    <xf numFmtId="3" fontId="38" fillId="0" borderId="5" xfId="0" applyNumberFormat="1" applyFont="1" applyFill="1" applyBorder="1"/>
    <xf numFmtId="3" fontId="40" fillId="0" borderId="6" xfId="0" applyNumberFormat="1" applyFont="1" applyFill="1" applyBorder="1"/>
    <xf numFmtId="3" fontId="40" fillId="6" borderId="6" xfId="0" applyNumberFormat="1" applyFont="1" applyFill="1" applyBorder="1"/>
    <xf numFmtId="4" fontId="41" fillId="6" borderId="0" xfId="0" applyNumberFormat="1" applyFont="1" applyFill="1" applyBorder="1"/>
    <xf numFmtId="0" fontId="38" fillId="0" borderId="63" xfId="0" applyFont="1" applyFill="1" applyBorder="1" applyAlignment="1">
      <alignment horizontal="center"/>
    </xf>
    <xf numFmtId="3" fontId="39" fillId="0" borderId="6" xfId="0" applyNumberFormat="1" applyFont="1" applyFill="1" applyBorder="1"/>
    <xf numFmtId="3" fontId="39" fillId="6" borderId="6" xfId="0" applyNumberFormat="1" applyFont="1" applyFill="1" applyBorder="1"/>
    <xf numFmtId="4" fontId="42" fillId="6" borderId="0" xfId="0" applyNumberFormat="1" applyFont="1" applyFill="1" applyBorder="1"/>
    <xf numFmtId="4" fontId="27" fillId="6" borderId="0" xfId="0" applyNumberFormat="1" applyFont="1" applyFill="1"/>
    <xf numFmtId="3" fontId="43" fillId="0" borderId="6" xfId="0" applyNumberFormat="1" applyFont="1" applyFill="1" applyBorder="1"/>
    <xf numFmtId="3" fontId="43" fillId="6" borderId="6" xfId="0" applyNumberFormat="1" applyFont="1" applyFill="1" applyBorder="1"/>
    <xf numFmtId="3" fontId="39" fillId="0" borderId="5" xfId="0" applyNumberFormat="1" applyFont="1" applyFill="1" applyBorder="1"/>
    <xf numFmtId="0" fontId="42" fillId="0" borderId="63" xfId="0" applyFont="1" applyFill="1" applyBorder="1" applyAlignment="1">
      <alignment horizontal="right"/>
    </xf>
    <xf numFmtId="0" fontId="38" fillId="0" borderId="8" xfId="0" applyFont="1" applyFill="1" applyBorder="1" applyAlignment="1">
      <alignment horizontal="center" vertical="center"/>
    </xf>
    <xf numFmtId="0" fontId="38" fillId="0" borderId="66" xfId="0" applyFont="1" applyFill="1" applyBorder="1" applyAlignment="1">
      <alignment horizontal="center"/>
    </xf>
    <xf numFmtId="3" fontId="38" fillId="0" borderId="13" xfId="0" applyNumberFormat="1" applyFont="1" applyFill="1" applyBorder="1"/>
    <xf numFmtId="3" fontId="39" fillId="0" borderId="13" xfId="0" applyNumberFormat="1" applyFont="1" applyFill="1" applyBorder="1"/>
    <xf numFmtId="3" fontId="39" fillId="0" borderId="14" xfId="0" applyNumberFormat="1" applyFont="1" applyFill="1" applyBorder="1"/>
    <xf numFmtId="0" fontId="38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/>
    </xf>
    <xf numFmtId="3" fontId="38" fillId="0" borderId="0" xfId="0" applyNumberFormat="1" applyFont="1" applyFill="1"/>
    <xf numFmtId="3" fontId="44" fillId="6" borderId="0" xfId="0" applyNumberFormat="1" applyFont="1" applyFill="1"/>
    <xf numFmtId="0" fontId="38" fillId="0" borderId="0" xfId="0" applyFont="1" applyAlignment="1">
      <alignment horizontal="left" vertical="center"/>
    </xf>
    <xf numFmtId="3" fontId="41" fillId="6" borderId="0" xfId="0" applyNumberFormat="1" applyFont="1" applyFill="1"/>
    <xf numFmtId="2" fontId="41" fillId="6" borderId="0" xfId="0" applyNumberFormat="1" applyFont="1" applyFill="1"/>
    <xf numFmtId="3" fontId="40" fillId="6" borderId="0" xfId="0" applyNumberFormat="1" applyFont="1" applyFill="1"/>
    <xf numFmtId="0" fontId="2" fillId="6" borderId="0" xfId="14" applyFill="1" applyAlignment="1">
      <alignment horizontal="center"/>
    </xf>
    <xf numFmtId="0" fontId="2" fillId="6" borderId="0" xfId="14" applyFill="1"/>
    <xf numFmtId="0" fontId="45" fillId="9" borderId="67" xfId="14" applyFont="1" applyFill="1" applyBorder="1" applyAlignment="1">
      <alignment horizontal="center"/>
    </xf>
    <xf numFmtId="173" fontId="46" fillId="0" borderId="68" xfId="15" applyNumberFormat="1" applyFont="1" applyBorder="1" applyAlignment="1">
      <alignment horizontal="center"/>
    </xf>
    <xf numFmtId="3" fontId="46" fillId="0" borderId="68" xfId="15" applyNumberFormat="1" applyFont="1" applyBorder="1" applyAlignment="1">
      <alignment horizontal="center"/>
    </xf>
    <xf numFmtId="0" fontId="46" fillId="6" borderId="0" xfId="14" applyFont="1" applyFill="1"/>
    <xf numFmtId="4" fontId="46" fillId="0" borderId="68" xfId="15" applyNumberFormat="1" applyFont="1" applyBorder="1" applyAlignment="1">
      <alignment horizontal="center"/>
    </xf>
    <xf numFmtId="173" fontId="29" fillId="0" borderId="68" xfId="15" applyNumberFormat="1" applyFont="1" applyBorder="1" applyAlignment="1">
      <alignment horizontal="center"/>
    </xf>
    <xf numFmtId="172" fontId="29" fillId="0" borderId="68" xfId="15" applyNumberFormat="1" applyFont="1" applyBorder="1" applyAlignment="1">
      <alignment horizontal="center"/>
    </xf>
    <xf numFmtId="4" fontId="29" fillId="0" borderId="68" xfId="15" applyNumberFormat="1" applyFont="1" applyBorder="1" applyAlignment="1">
      <alignment horizontal="center"/>
    </xf>
    <xf numFmtId="173" fontId="46" fillId="0" borderId="0" xfId="15" applyNumberFormat="1" applyFont="1" applyBorder="1" applyAlignment="1">
      <alignment horizontal="center"/>
    </xf>
    <xf numFmtId="0" fontId="14" fillId="0" borderId="0" xfId="16" applyFont="1" applyBorder="1" applyAlignment="1"/>
    <xf numFmtId="166" fontId="7" fillId="0" borderId="0" xfId="16" applyNumberFormat="1" applyFont="1" applyBorder="1" applyAlignment="1"/>
    <xf numFmtId="0" fontId="7" fillId="0" borderId="0" xfId="16" applyFont="1" applyBorder="1" applyAlignment="1"/>
    <xf numFmtId="0" fontId="47" fillId="0" borderId="5" xfId="17" applyFont="1" applyBorder="1"/>
    <xf numFmtId="166" fontId="47" fillId="0" borderId="5" xfId="17" applyNumberFormat="1" applyFont="1" applyBorder="1"/>
    <xf numFmtId="167" fontId="47" fillId="0" borderId="5" xfId="17" applyNumberFormat="1" applyFont="1" applyBorder="1"/>
    <xf numFmtId="166" fontId="48" fillId="0" borderId="5" xfId="17" applyNumberFormat="1" applyFont="1" applyBorder="1"/>
    <xf numFmtId="0" fontId="47" fillId="0" borderId="5" xfId="16" applyFont="1" applyBorder="1"/>
    <xf numFmtId="3" fontId="47" fillId="0" borderId="5" xfId="17" applyNumberFormat="1" applyFont="1" applyBorder="1"/>
    <xf numFmtId="3" fontId="48" fillId="0" borderId="5" xfId="17" applyNumberFormat="1" applyFont="1" applyBorder="1"/>
    <xf numFmtId="3" fontId="2" fillId="6" borderId="0" xfId="14" applyNumberFormat="1" applyFill="1"/>
    <xf numFmtId="0" fontId="2" fillId="0" borderId="0" xfId="14"/>
    <xf numFmtId="0" fontId="10" fillId="0" borderId="37" xfId="2" applyNumberFormat="1" applyFont="1" applyBorder="1" applyAlignment="1">
      <alignment vertical="center" wrapText="1"/>
    </xf>
    <xf numFmtId="4" fontId="8" fillId="0" borderId="37" xfId="2" applyNumberFormat="1" applyFont="1" applyBorder="1" applyAlignment="1">
      <alignment horizontal="center" vertical="center" wrapText="1"/>
    </xf>
    <xf numFmtId="0" fontId="8" fillId="0" borderId="37" xfId="2" applyFont="1" applyBorder="1" applyAlignment="1">
      <alignment vertical="center"/>
    </xf>
    <xf numFmtId="4" fontId="8" fillId="0" borderId="37" xfId="2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left" vertical="center"/>
    </xf>
    <xf numFmtId="167" fontId="14" fillId="0" borderId="37" xfId="2" applyNumberFormat="1" applyFont="1" applyFill="1" applyBorder="1" applyAlignment="1">
      <alignment horizontal="right" vertical="center"/>
    </xf>
    <xf numFmtId="167" fontId="34" fillId="6" borderId="37" xfId="0" applyNumberFormat="1" applyFont="1" applyFill="1" applyBorder="1"/>
    <xf numFmtId="0" fontId="7" fillId="0" borderId="37" xfId="2" applyNumberFormat="1" applyFont="1" applyBorder="1" applyAlignment="1">
      <alignment horizontal="left" vertical="center" wrapText="1"/>
    </xf>
    <xf numFmtId="0" fontId="15" fillId="0" borderId="37" xfId="0" applyFont="1" applyBorder="1"/>
    <xf numFmtId="167" fontId="0" fillId="0" borderId="37" xfId="0" applyNumberFormat="1" applyBorder="1"/>
    <xf numFmtId="174" fontId="16" fillId="0" borderId="0" xfId="7" applyNumberFormat="1" applyFont="1"/>
    <xf numFmtId="3" fontId="0" fillId="0" borderId="0" xfId="0" applyNumberFormat="1"/>
    <xf numFmtId="0" fontId="4" fillId="0" borderId="11" xfId="14" applyFont="1" applyBorder="1" applyAlignment="1">
      <alignment horizontal="left" indent="1"/>
    </xf>
    <xf numFmtId="166" fontId="47" fillId="0" borderId="37" xfId="17" applyNumberFormat="1" applyFont="1" applyBorder="1"/>
    <xf numFmtId="3" fontId="47" fillId="0" borderId="37" xfId="17" applyNumberFormat="1" applyFont="1" applyBorder="1"/>
    <xf numFmtId="3" fontId="4" fillId="6" borderId="0" xfId="14" applyNumberFormat="1" applyFont="1" applyFill="1"/>
    <xf numFmtId="0" fontId="1" fillId="6" borderId="0" xfId="14" applyFont="1" applyFill="1"/>
    <xf numFmtId="0" fontId="0" fillId="0" borderId="37" xfId="0" applyBorder="1"/>
    <xf numFmtId="4" fontId="0" fillId="0" borderId="37" xfId="0" applyNumberFormat="1" applyBorder="1"/>
    <xf numFmtId="0" fontId="0" fillId="0" borderId="0" xfId="0" applyBorder="1"/>
    <xf numFmtId="4" fontId="0" fillId="0" borderId="0" xfId="0" applyNumberFormat="1" applyBorder="1"/>
    <xf numFmtId="0" fontId="0" fillId="0" borderId="0" xfId="0" applyFill="1" applyBorder="1"/>
    <xf numFmtId="0" fontId="0" fillId="0" borderId="37" xfId="0" applyFill="1" applyBorder="1"/>
    <xf numFmtId="168" fontId="16" fillId="0" borderId="0" xfId="18" applyFont="1" applyProtection="1"/>
    <xf numFmtId="3" fontId="16" fillId="0" borderId="0" xfId="18" applyNumberFormat="1" applyFont="1" applyProtection="1"/>
    <xf numFmtId="168" fontId="49" fillId="0" borderId="72" xfId="18" applyFont="1" applyBorder="1" applyProtection="1"/>
    <xf numFmtId="168" fontId="49" fillId="0" borderId="75" xfId="18" applyFont="1" applyBorder="1" applyProtection="1"/>
    <xf numFmtId="3" fontId="17" fillId="5" borderId="72" xfId="18" applyNumberFormat="1" applyFont="1" applyFill="1" applyBorder="1" applyProtection="1"/>
    <xf numFmtId="169" fontId="18" fillId="5" borderId="73" xfId="1" applyNumberFormat="1" applyFont="1" applyFill="1" applyBorder="1" applyProtection="1"/>
    <xf numFmtId="3" fontId="49" fillId="0" borderId="73" xfId="18" applyNumberFormat="1" applyFont="1" applyBorder="1" applyProtection="1"/>
    <xf numFmtId="3" fontId="49" fillId="0" borderId="74" xfId="18" applyNumberFormat="1" applyFont="1" applyBorder="1" applyProtection="1"/>
    <xf numFmtId="3" fontId="50" fillId="5" borderId="72" xfId="18" applyNumberFormat="1" applyFont="1" applyFill="1" applyBorder="1" applyProtection="1"/>
    <xf numFmtId="169" fontId="50" fillId="5" borderId="73" xfId="1" applyNumberFormat="1" applyFont="1" applyFill="1" applyBorder="1" applyProtection="1"/>
    <xf numFmtId="10" fontId="16" fillId="0" borderId="73" xfId="18" applyNumberFormat="1" applyFont="1" applyBorder="1" applyProtection="1"/>
    <xf numFmtId="10" fontId="16" fillId="0" borderId="74" xfId="18" applyNumberFormat="1" applyFont="1" applyBorder="1" applyProtection="1"/>
    <xf numFmtId="168" fontId="49" fillId="0" borderId="76" xfId="18" applyFont="1" applyBorder="1" applyProtection="1"/>
    <xf numFmtId="4" fontId="16" fillId="0" borderId="77" xfId="18" applyNumberFormat="1" applyFont="1" applyBorder="1" applyProtection="1"/>
    <xf numFmtId="3" fontId="16" fillId="0" borderId="78" xfId="18" applyNumberFormat="1" applyFont="1" applyBorder="1" applyProtection="1"/>
    <xf numFmtId="10" fontId="16" fillId="0" borderId="78" xfId="18" applyNumberFormat="1" applyFont="1" applyBorder="1" applyProtection="1"/>
    <xf numFmtId="10" fontId="16" fillId="0" borderId="79" xfId="18" applyNumberFormat="1" applyFont="1" applyBorder="1" applyProtection="1"/>
    <xf numFmtId="168" fontId="16" fillId="0" borderId="80" xfId="18" applyFont="1" applyBorder="1" applyProtection="1"/>
    <xf numFmtId="3" fontId="12" fillId="0" borderId="81" xfId="18" applyNumberFormat="1" applyFont="1" applyBorder="1" applyProtection="1"/>
    <xf numFmtId="3" fontId="12" fillId="0" borderId="82" xfId="18" applyNumberFormat="1" applyFont="1" applyBorder="1" applyProtection="1"/>
    <xf numFmtId="168" fontId="12" fillId="0" borderId="83" xfId="18" applyFont="1" applyBorder="1" applyAlignment="1" applyProtection="1">
      <alignment horizontal="center" wrapText="1"/>
    </xf>
    <xf numFmtId="168" fontId="12" fillId="0" borderId="84" xfId="18" applyFont="1" applyBorder="1" applyAlignment="1" applyProtection="1">
      <alignment horizontal="center" wrapText="1"/>
    </xf>
    <xf numFmtId="168" fontId="12" fillId="0" borderId="82" xfId="18" applyFont="1" applyBorder="1" applyAlignment="1" applyProtection="1">
      <alignment horizontal="center" wrapText="1"/>
    </xf>
    <xf numFmtId="168" fontId="12" fillId="0" borderId="85" xfId="18" applyFont="1" applyBorder="1" applyAlignment="1" applyProtection="1">
      <alignment horizontal="center" wrapText="1"/>
    </xf>
    <xf numFmtId="168" fontId="16" fillId="0" borderId="86" xfId="18" applyFont="1" applyBorder="1" applyProtection="1"/>
    <xf numFmtId="3" fontId="12" fillId="0" borderId="87" xfId="18" applyNumberFormat="1" applyFont="1" applyBorder="1" applyAlignment="1" applyProtection="1">
      <alignment horizontal="center"/>
    </xf>
    <xf numFmtId="3" fontId="12" fillId="0" borderId="17" xfId="18" applyNumberFormat="1" applyFont="1" applyBorder="1" applyAlignment="1" applyProtection="1">
      <alignment horizontal="center"/>
    </xf>
    <xf numFmtId="168" fontId="12" fillId="0" borderId="86" xfId="8" applyFont="1" applyFill="1" applyBorder="1" applyAlignment="1" applyProtection="1">
      <alignment horizontal="justify" vertical="center" wrapText="1"/>
    </xf>
    <xf numFmtId="0" fontId="12" fillId="0" borderId="87" xfId="8" applyNumberFormat="1" applyFont="1" applyFill="1" applyBorder="1" applyAlignment="1" applyProtection="1">
      <alignment horizontal="right" vertical="center" wrapText="1"/>
    </xf>
    <xf numFmtId="3" fontId="16" fillId="0" borderId="17" xfId="18" applyNumberFormat="1" applyFont="1" applyBorder="1" applyProtection="1"/>
    <xf numFmtId="3" fontId="16" fillId="3" borderId="17" xfId="18" applyNumberFormat="1" applyFont="1" applyFill="1" applyBorder="1" applyProtection="1">
      <protection locked="0"/>
    </xf>
    <xf numFmtId="3" fontId="16" fillId="3" borderId="89" xfId="18" applyNumberFormat="1" applyFont="1" applyFill="1" applyBorder="1" applyProtection="1">
      <protection locked="0"/>
    </xf>
    <xf numFmtId="4" fontId="16" fillId="0" borderId="17" xfId="18" applyNumberFormat="1" applyFont="1" applyBorder="1" applyProtection="1"/>
    <xf numFmtId="168" fontId="12" fillId="0" borderId="90" xfId="8" applyFont="1" applyFill="1" applyBorder="1" applyAlignment="1" applyProtection="1">
      <alignment horizontal="justify" vertical="center" wrapText="1"/>
    </xf>
    <xf numFmtId="0" fontId="12" fillId="0" borderId="91" xfId="8" applyNumberFormat="1" applyFont="1" applyFill="1" applyBorder="1" applyAlignment="1" applyProtection="1">
      <alignment horizontal="right" vertical="center" wrapText="1"/>
    </xf>
    <xf numFmtId="4" fontId="12" fillId="0" borderId="92" xfId="18" applyNumberFormat="1" applyFont="1" applyBorder="1" applyProtection="1"/>
    <xf numFmtId="3" fontId="12" fillId="0" borderId="92" xfId="18" applyNumberFormat="1" applyFont="1" applyBorder="1" applyProtection="1"/>
    <xf numFmtId="3" fontId="12" fillId="0" borderId="93" xfId="18" applyNumberFormat="1" applyFont="1" applyBorder="1" applyProtection="1"/>
    <xf numFmtId="168" fontId="49" fillId="10" borderId="18" xfId="18" applyFont="1" applyFill="1" applyBorder="1" applyProtection="1"/>
    <xf numFmtId="3" fontId="12" fillId="10" borderId="19" xfId="18" applyNumberFormat="1" applyFont="1" applyFill="1" applyBorder="1" applyAlignment="1" applyProtection="1">
      <alignment horizontal="center" wrapText="1"/>
    </xf>
    <xf numFmtId="3" fontId="16" fillId="10" borderId="19" xfId="18" applyNumberFormat="1" applyFont="1" applyFill="1" applyBorder="1" applyProtection="1"/>
    <xf numFmtId="168" fontId="12" fillId="10" borderId="19" xfId="18" applyFont="1" applyFill="1" applyBorder="1" applyAlignment="1" applyProtection="1">
      <alignment horizontal="center" wrapText="1"/>
    </xf>
    <xf numFmtId="168" fontId="12" fillId="10" borderId="20" xfId="18" applyFont="1" applyFill="1" applyBorder="1" applyAlignment="1" applyProtection="1">
      <alignment horizontal="center" wrapText="1"/>
    </xf>
    <xf numFmtId="168" fontId="12" fillId="10" borderId="21" xfId="8" applyFont="1" applyFill="1" applyBorder="1" applyAlignment="1" applyProtection="1">
      <alignment horizontal="justify" vertical="center" wrapText="1"/>
    </xf>
    <xf numFmtId="2" fontId="12" fillId="10" borderId="17" xfId="8" applyNumberFormat="1" applyFont="1" applyFill="1" applyBorder="1" applyAlignment="1" applyProtection="1">
      <alignment horizontal="right" vertical="center" wrapText="1"/>
    </xf>
    <xf numFmtId="3" fontId="16" fillId="10" borderId="17" xfId="18" applyNumberFormat="1" applyFont="1" applyFill="1" applyBorder="1" applyProtection="1"/>
    <xf numFmtId="4" fontId="16" fillId="10" borderId="17" xfId="18" applyNumberFormat="1" applyFont="1" applyFill="1" applyBorder="1" applyProtection="1"/>
    <xf numFmtId="2" fontId="16" fillId="10" borderId="25" xfId="18" applyNumberFormat="1" applyFont="1" applyFill="1" applyBorder="1" applyProtection="1"/>
    <xf numFmtId="4" fontId="16" fillId="10" borderId="25" xfId="18" applyNumberFormat="1" applyFont="1" applyFill="1" applyBorder="1" applyProtection="1"/>
    <xf numFmtId="4" fontId="16" fillId="0" borderId="0" xfId="18" applyNumberFormat="1" applyFont="1" applyProtection="1"/>
    <xf numFmtId="10" fontId="20" fillId="0" borderId="0" xfId="18" applyNumberFormat="1" applyFont="1" applyProtection="1"/>
    <xf numFmtId="168" fontId="16" fillId="3" borderId="0" xfId="18" applyFont="1" applyFill="1" applyProtection="1"/>
    <xf numFmtId="3" fontId="12" fillId="0" borderId="22" xfId="18" applyNumberFormat="1" applyFont="1" applyBorder="1" applyAlignment="1" applyProtection="1">
      <alignment horizontal="center"/>
    </xf>
    <xf numFmtId="3" fontId="12" fillId="0" borderId="88" xfId="18" applyNumberFormat="1" applyFont="1" applyBorder="1" applyAlignment="1" applyProtection="1">
      <alignment horizontal="center"/>
    </xf>
    <xf numFmtId="3" fontId="12" fillId="0" borderId="69" xfId="18" applyNumberFormat="1" applyFont="1" applyBorder="1" applyAlignment="1" applyProtection="1">
      <alignment horizontal="center"/>
    </xf>
    <xf numFmtId="0" fontId="4" fillId="0" borderId="70" xfId="0" applyFont="1" applyBorder="1" applyAlignment="1" applyProtection="1">
      <alignment horizontal="center"/>
    </xf>
    <xf numFmtId="0" fontId="4" fillId="0" borderId="71" xfId="0" applyFont="1" applyBorder="1" applyAlignment="1" applyProtection="1">
      <alignment horizontal="center"/>
    </xf>
    <xf numFmtId="3" fontId="12" fillId="3" borderId="73" xfId="18" applyNumberFormat="1" applyFont="1" applyFill="1" applyBorder="1" applyAlignment="1" applyProtection="1">
      <alignment horizontal="right"/>
    </xf>
    <xf numFmtId="0" fontId="4" fillId="3" borderId="73" xfId="0" applyFont="1" applyFill="1" applyBorder="1" applyAlignment="1" applyProtection="1">
      <alignment horizontal="right"/>
    </xf>
    <xf numFmtId="3" fontId="12" fillId="3" borderId="73" xfId="18" applyNumberFormat="1" applyFont="1" applyFill="1" applyBorder="1" applyAlignment="1" applyProtection="1">
      <alignment horizontal="right"/>
      <protection locked="0"/>
    </xf>
    <xf numFmtId="0" fontId="4" fillId="3" borderId="73" xfId="0" applyFont="1" applyFill="1" applyBorder="1" applyAlignment="1" applyProtection="1">
      <alignment horizontal="right"/>
      <protection locked="0"/>
    </xf>
    <xf numFmtId="0" fontId="4" fillId="3" borderId="74" xfId="0" applyFont="1" applyFill="1" applyBorder="1" applyAlignment="1" applyProtection="1">
      <alignment horizontal="right"/>
      <protection locked="0"/>
    </xf>
    <xf numFmtId="3" fontId="12" fillId="0" borderId="94" xfId="18" applyNumberFormat="1" applyFont="1" applyBorder="1" applyAlignment="1" applyProtection="1">
      <alignment horizontal="center"/>
    </xf>
    <xf numFmtId="3" fontId="12" fillId="0" borderId="95" xfId="18" applyNumberFormat="1" applyFont="1" applyBorder="1" applyAlignment="1" applyProtection="1">
      <alignment horizontal="center"/>
    </xf>
    <xf numFmtId="3" fontId="12" fillId="0" borderId="96" xfId="18" applyNumberFormat="1" applyFont="1" applyBorder="1" applyAlignment="1" applyProtection="1">
      <alignment horizontal="center"/>
    </xf>
    <xf numFmtId="3" fontId="12" fillId="0" borderId="22" xfId="7" applyNumberFormat="1" applyFont="1" applyBorder="1" applyAlignment="1">
      <alignment horizontal="center"/>
    </xf>
    <xf numFmtId="3" fontId="12" fillId="0" borderId="24" xfId="7" applyNumberFormat="1" applyFont="1" applyBorder="1" applyAlignment="1">
      <alignment horizontal="center"/>
    </xf>
    <xf numFmtId="3" fontId="12" fillId="0" borderId="23" xfId="7" applyNumberFormat="1" applyFont="1" applyBorder="1" applyAlignment="1">
      <alignment horizontal="center"/>
    </xf>
    <xf numFmtId="4" fontId="8" fillId="8" borderId="43" xfId="2" applyNumberFormat="1" applyFont="1" applyFill="1" applyBorder="1" applyAlignment="1">
      <alignment horizontal="center" vertical="center"/>
    </xf>
    <xf numFmtId="4" fontId="8" fillId="8" borderId="44" xfId="2" applyNumberFormat="1" applyFont="1" applyFill="1" applyBorder="1" applyAlignment="1">
      <alignment horizontal="center" vertical="center"/>
    </xf>
    <xf numFmtId="4" fontId="8" fillId="8" borderId="45" xfId="2" applyNumberFormat="1" applyFont="1" applyFill="1" applyBorder="1" applyAlignment="1">
      <alignment horizontal="center" vertical="center"/>
    </xf>
    <xf numFmtId="4" fontId="8" fillId="8" borderId="46" xfId="2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4" fontId="8" fillId="8" borderId="1" xfId="2" applyNumberFormat="1" applyFont="1" applyFill="1" applyBorder="1" applyAlignment="1">
      <alignment horizontal="center" vertical="center" wrapText="1"/>
    </xf>
    <xf numFmtId="4" fontId="8" fillId="8" borderId="2" xfId="2" applyNumberFormat="1" applyFont="1" applyFill="1" applyBorder="1" applyAlignment="1">
      <alignment horizontal="center" vertical="center" wrapText="1"/>
    </xf>
    <xf numFmtId="4" fontId="8" fillId="8" borderId="3" xfId="2" applyNumberFormat="1" applyFont="1" applyFill="1" applyBorder="1" applyAlignment="1">
      <alignment horizontal="center" vertical="center" wrapText="1"/>
    </xf>
    <xf numFmtId="4" fontId="8" fillId="8" borderId="16" xfId="2" applyNumberFormat="1" applyFont="1" applyFill="1" applyBorder="1" applyAlignment="1">
      <alignment horizontal="center" vertical="center" wrapText="1"/>
    </xf>
    <xf numFmtId="0" fontId="12" fillId="0" borderId="10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8" fillId="0" borderId="3" xfId="2" applyNumberFormat="1" applyFont="1" applyBorder="1" applyAlignment="1">
      <alignment horizontal="center" vertical="center" wrapText="1"/>
    </xf>
    <xf numFmtId="0" fontId="8" fillId="0" borderId="16" xfId="2" applyNumberFormat="1" applyFont="1" applyBorder="1" applyAlignment="1">
      <alignment horizontal="center" vertical="center" wrapText="1"/>
    </xf>
    <xf numFmtId="4" fontId="8" fillId="8" borderId="7" xfId="2" applyNumberFormat="1" applyFont="1" applyFill="1" applyBorder="1" applyAlignment="1">
      <alignment horizontal="center" vertical="center" wrapText="1"/>
    </xf>
    <xf numFmtId="4" fontId="8" fillId="8" borderId="9" xfId="2" applyNumberFormat="1" applyFont="1" applyFill="1" applyBorder="1" applyAlignment="1">
      <alignment horizontal="center" vertical="center" wrapText="1"/>
    </xf>
    <xf numFmtId="4" fontId="8" fillId="8" borderId="41" xfId="2" applyNumberFormat="1" applyFont="1" applyFill="1" applyBorder="1" applyAlignment="1">
      <alignment horizontal="center" vertical="center" wrapText="1"/>
    </xf>
    <xf numFmtId="4" fontId="8" fillId="8" borderId="42" xfId="2" applyNumberFormat="1" applyFont="1" applyFill="1" applyBorder="1" applyAlignment="1">
      <alignment horizontal="center" vertical="center" wrapText="1"/>
    </xf>
    <xf numFmtId="0" fontId="8" fillId="8" borderId="1" xfId="2" applyNumberFormat="1" applyFont="1" applyFill="1" applyBorder="1" applyAlignment="1">
      <alignment horizontal="center" vertical="center" wrapText="1"/>
    </xf>
    <xf numFmtId="0" fontId="8" fillId="8" borderId="2" xfId="2" applyNumberFormat="1" applyFont="1" applyFill="1" applyBorder="1" applyAlignment="1">
      <alignment horizontal="center" vertical="center" wrapText="1"/>
    </xf>
    <xf numFmtId="0" fontId="8" fillId="8" borderId="3" xfId="2" applyNumberFormat="1" applyFont="1" applyFill="1" applyBorder="1" applyAlignment="1">
      <alignment horizontal="center" vertical="center" wrapText="1"/>
    </xf>
    <xf numFmtId="0" fontId="8" fillId="8" borderId="16" xfId="2" applyNumberFormat="1" applyFont="1" applyFill="1" applyBorder="1" applyAlignment="1">
      <alignment horizontal="center" vertical="center" wrapText="1"/>
    </xf>
    <xf numFmtId="167" fontId="7" fillId="0" borderId="31" xfId="3" applyNumberFormat="1" applyFont="1" applyBorder="1" applyAlignment="1">
      <alignment horizontal="center" vertical="center"/>
    </xf>
    <xf numFmtId="167" fontId="7" fillId="0" borderId="0" xfId="3" applyNumberFormat="1" applyFont="1" applyBorder="1" applyAlignment="1">
      <alignment horizontal="center" vertical="center"/>
    </xf>
    <xf numFmtId="167" fontId="7" fillId="0" borderId="32" xfId="3" applyNumberFormat="1" applyFont="1" applyBorder="1" applyAlignment="1">
      <alignment horizontal="center" vertical="center"/>
    </xf>
    <xf numFmtId="167" fontId="31" fillId="0" borderId="35" xfId="3" applyNumberFormat="1" applyFont="1" applyBorder="1" applyAlignment="1">
      <alignment horizontal="center" vertical="center"/>
    </xf>
    <xf numFmtId="167" fontId="31" fillId="0" borderId="58" xfId="3" applyNumberFormat="1" applyFont="1" applyBorder="1" applyAlignment="1">
      <alignment horizontal="center" vertical="center"/>
    </xf>
    <xf numFmtId="167" fontId="31" fillId="0" borderId="36" xfId="3" applyNumberFormat="1" applyFont="1" applyBorder="1" applyAlignment="1">
      <alignment horizontal="center" vertical="center"/>
    </xf>
    <xf numFmtId="167" fontId="35" fillId="0" borderId="31" xfId="3" applyNumberFormat="1" applyFont="1" applyBorder="1" applyAlignment="1">
      <alignment horizontal="center" vertical="center"/>
    </xf>
    <xf numFmtId="167" fontId="35" fillId="0" borderId="0" xfId="3" applyNumberFormat="1" applyFont="1" applyBorder="1" applyAlignment="1">
      <alignment horizontal="center" vertical="center"/>
    </xf>
    <xf numFmtId="167" fontId="35" fillId="0" borderId="32" xfId="3" applyNumberFormat="1" applyFont="1" applyBorder="1" applyAlignment="1">
      <alignment horizontal="center" vertical="center"/>
    </xf>
    <xf numFmtId="167" fontId="35" fillId="0" borderId="59" xfId="3" applyNumberFormat="1" applyFont="1" applyBorder="1" applyAlignment="1">
      <alignment horizontal="center" vertical="center"/>
    </xf>
    <xf numFmtId="167" fontId="7" fillId="0" borderId="15" xfId="3" applyNumberFormat="1" applyFont="1" applyBorder="1" applyAlignment="1">
      <alignment horizontal="center" vertical="center"/>
    </xf>
    <xf numFmtId="167" fontId="7" fillId="0" borderId="56" xfId="3" applyNumberFormat="1" applyFont="1" applyBorder="1" applyAlignment="1">
      <alignment horizontal="center" vertical="center"/>
    </xf>
    <xf numFmtId="167" fontId="7" fillId="0" borderId="57" xfId="3" applyNumberFormat="1" applyFont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 wrapText="1"/>
    </xf>
    <xf numFmtId="0" fontId="40" fillId="0" borderId="56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wrapText="1"/>
    </xf>
  </cellXfs>
  <cellStyles count="19">
    <cellStyle name="=C:\WINNT35\SYSTEM32\COMMAND.COM 6" xfId="16" xr:uid="{00000000-0005-0000-0000-000000000000}"/>
    <cellStyle name="Comma 2" xfId="11" xr:uid="{00000000-0005-0000-0000-000001000000}"/>
    <cellStyle name="Comma 3 3" xfId="13" xr:uid="{00000000-0005-0000-0000-000002000000}"/>
    <cellStyle name="Comma 4" xfId="15" xr:uid="{00000000-0005-0000-0000-000003000000}"/>
    <cellStyle name="Normal" xfId="0" builtinId="0"/>
    <cellStyle name="Normal 14 3" xfId="14" xr:uid="{00000000-0005-0000-0000-000005000000}"/>
    <cellStyle name="Normal 14 5" xfId="9" xr:uid="{00000000-0005-0000-0000-000006000000}"/>
    <cellStyle name="Normal 15 2" xfId="17" xr:uid="{00000000-0005-0000-0000-000007000000}"/>
    <cellStyle name="Normal 2" xfId="6" xr:uid="{00000000-0005-0000-0000-000008000000}"/>
    <cellStyle name="Normal 2 12" xfId="7" xr:uid="{00000000-0005-0000-0000-000009000000}"/>
    <cellStyle name="Normal 2 14" xfId="3" xr:uid="{00000000-0005-0000-0000-00000A000000}"/>
    <cellStyle name="Normal 2 2" xfId="5" xr:uid="{00000000-0005-0000-0000-00000B000000}"/>
    <cellStyle name="Normal 2 2 2" xfId="18" xr:uid="{00000000-0005-0000-0000-00000C000000}"/>
    <cellStyle name="Normal 2 9" xfId="8" xr:uid="{00000000-0005-0000-0000-00000D000000}"/>
    <cellStyle name="Normal 3" xfId="10" xr:uid="{00000000-0005-0000-0000-00000E000000}"/>
    <cellStyle name="Normal 3 4" xfId="12" xr:uid="{00000000-0005-0000-0000-00000F000000}"/>
    <cellStyle name="Normal 3 6" xfId="4" xr:uid="{00000000-0005-0000-0000-000010000000}"/>
    <cellStyle name="Normal 6 3 2" xfId="2" xr:uid="{00000000-0005-0000-0000-000011000000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Preturi</a:t>
            </a:r>
            <a:r>
              <a:rPr lang="en-US" baseline="0"/>
              <a:t> de referinta estimate in cea de a patra perioada </a:t>
            </a:r>
          </a:p>
          <a:p>
            <a:pPr>
              <a:defRPr/>
            </a:pPr>
            <a:r>
              <a:rPr lang="en-US" baseline="0"/>
              <a:t>de reglementare oct.2019-sept.2024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'centralizare tarife estimate'!$A$12</c:f>
              <c:strCache>
                <c:ptCount val="1"/>
                <c:pt idx="0">
                  <c:v>Grupul Punctelor de intrare in SNT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'centralizare tarife estimate'!$B$11:$F$11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'centralizare tarife estimate'!$B$12:$F$12</c:f>
              <c:numCache>
                <c:formatCode>#,##0.00</c:formatCode>
                <c:ptCount val="5"/>
                <c:pt idx="0">
                  <c:v>2.3148586137822957</c:v>
                </c:pt>
                <c:pt idx="1">
                  <c:v>2.5866684558135722</c:v>
                </c:pt>
                <c:pt idx="2">
                  <c:v>2.4614526051884491</c:v>
                </c:pt>
                <c:pt idx="3">
                  <c:v>2.9538694366601073</c:v>
                </c:pt>
                <c:pt idx="4">
                  <c:v>2.7498466766440868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F-4CC8-8285-709955E22D50}"/>
            </c:ext>
          </c:extLst>
        </c:ser>
        <c:ser>
          <c:idx val="1"/>
          <c:order val="1"/>
          <c:tx>
            <c:strRef>
              <c:f>'centralizare tarife estimate'!$A$13</c:f>
              <c:strCache>
                <c:ptCount val="1"/>
                <c:pt idx="0">
                  <c:v>Grupul Punctelor de iesire din SNT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'centralizare tarife estimate'!$B$11:$F$11</c:f>
              <c:strCache>
                <c:ptCount val="5"/>
                <c:pt idx="0">
                  <c:v>2019-2020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</c:strCache>
            </c:strRef>
          </c:cat>
          <c:val>
            <c:numRef>
              <c:f>'centralizare tarife estimate'!$B$13:$F$13</c:f>
              <c:numCache>
                <c:formatCode>#,##0.00</c:formatCode>
                <c:ptCount val="5"/>
                <c:pt idx="0">
                  <c:v>1.649056514697723</c:v>
                </c:pt>
                <c:pt idx="1">
                  <c:v>1.8306003888651485</c:v>
                </c:pt>
                <c:pt idx="2">
                  <c:v>2.4260030122866469</c:v>
                </c:pt>
                <c:pt idx="3">
                  <c:v>2.9113281060677765</c:v>
                </c:pt>
                <c:pt idx="4">
                  <c:v>2.707188589822469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F-4CC8-8285-709955E2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36581264"/>
        <c:axId val="-936575280"/>
      </c:lineChart>
      <c:catAx>
        <c:axId val="-93658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6575280"/>
        <c:crosses val="autoZero"/>
        <c:auto val="1"/>
        <c:lblAlgn val="ctr"/>
        <c:lblOffset val="100"/>
        <c:noMultiLvlLbl val="0"/>
      </c:catAx>
      <c:valAx>
        <c:axId val="-93657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658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13</xdr:row>
      <xdr:rowOff>127000</xdr:rowOff>
    </xdr:from>
    <xdr:to>
      <xdr:col>5</xdr:col>
      <xdr:colOff>469900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cuments%20and%20Settings\pintea\My%20Documents\bvc-2004\bvc_2004_HG1476_activitati_real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uda\Local%20Settings\Temporary%20Internet%20Files\Content.Outlook\4DL3MMXK\Tarife%20transport%2013-16%20incl-inma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duda\Local%20Settings\Temporary%20Internet%20Files\Content.Outlook\4DL3MMXK\Tarife%20transport%2013-16%20incl-inm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rosu/My%20Documents/Lucru/BVC_2010/BVC_2010_%20trim.II%20pe%20lu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rosu\My%20Documents\Lucru\BVC_2010\BVC_2010_%20trim.II%20pe%20lun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rosu\My%20Documents\Lucru\BVC_2010\BVC_2010_%20trim.II%20pe%20lun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uget_2003_rectificat/Bvc2003_rectificat_aprobat_HG147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Buget_2003_rectificat\Bvc2003_rectificat_aprobat_HG147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Buget_2003_rectificat\Bvc2003_rectificat_aprobat_HG147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su\Documents\cuta\bvc\bvc%202018\FINAL\bvc_2018_v10_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da/Local%20Settings/Temporary%20Internet%20Files/Content.Outlook/4DL3MMXK/Tarife%20transport%2013-16%20incl-inm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ias"/>
      <sheetName val="cheltuieli-realizari"/>
      <sheetName val="coeficienti alocare"/>
      <sheetName val="extras"/>
      <sheetName val="cheltuieli-bvc"/>
      <sheetName val="Fe"/>
      <sheetName val="Fe_activitati"/>
      <sheetName val="cost_oper_ANRGN"/>
      <sheetName val="coeficienti_aloc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lt.sociale (3)"/>
      <sheetName val="IN"/>
      <sheetName val="terti"/>
      <sheetName val="Fe"/>
      <sheetName val="analiza factoriala_MWh"/>
      <sheetName val="extras_MFP"/>
      <sheetName val="analiza_ven.expl"/>
      <sheetName val="analiza_comparata BVC"/>
      <sheetName val="Investitii"/>
      <sheetName val="fund-tranzit"/>
      <sheetName val="alte chelt.expl"/>
      <sheetName val="alte ven.expl"/>
      <sheetName val="tarif_ech_disp"/>
      <sheetName val="salarii"/>
      <sheetName val="Fe_preliminat"/>
      <sheetName val="Fe_semI"/>
      <sheetName val="Amortizare 2008"/>
      <sheetName val="CT_2008"/>
      <sheetName val="cant_2010"/>
      <sheetName val="cota_gaz"/>
      <sheetName val="impoz_prof"/>
      <sheetName val="plati_creante"/>
      <sheetName val="chelt_sociale_(3)"/>
      <sheetName val="analiza_factoriala_MWh"/>
      <sheetName val="analiza_ven_expl"/>
      <sheetName val="analiza_comparata_BVC"/>
      <sheetName val="alte_chelt_expl"/>
      <sheetName val="alte_ven_expl"/>
      <sheetName val="Amortizare_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bvc-ias"/>
      <sheetName val="cheltuieli-bvc"/>
      <sheetName val="bil_bvc"/>
      <sheetName val="grafic_majorari"/>
      <sheetName val="IN"/>
      <sheetName val="extras"/>
      <sheetName val="extras-ias"/>
      <sheetName val="amortizare"/>
      <sheetName val="amortizare-1"/>
      <sheetName val="Fe"/>
      <sheetName val="Alte cheltuieli"/>
      <sheetName val="fund-tranzit"/>
      <sheetName val="cant2003"/>
      <sheetName val="program-2003"/>
      <sheetName val="Investitii"/>
      <sheetName val="credite"/>
      <sheetName val="curs"/>
      <sheetName val="curs_euro"/>
      <sheetName val="consum_tehno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teze"/>
      <sheetName val="VT"/>
      <sheetName val="anal-fac (bvc)"/>
      <sheetName val="in"/>
      <sheetName val="bal_17"/>
      <sheetName val="bal 11.2017"/>
      <sheetName val="KPI"/>
      <sheetName val="serv"/>
      <sheetName val="salarii"/>
      <sheetName val="pa_!"/>
      <sheetName val="P&amp;L (dg)"/>
      <sheetName val="Anexa 2"/>
      <sheetName val="Anexa 1"/>
      <sheetName val="Anexa 6"/>
      <sheetName val="Anexa 3"/>
      <sheetName val="tabel"/>
      <sheetName val="liviu"/>
      <sheetName val="P&amp;L"/>
      <sheetName val="P&amp;L(pa)"/>
      <sheetName val="bilant"/>
      <sheetName val="cash"/>
      <sheetName val="Anexa 4"/>
      <sheetName val="investitii"/>
      <sheetName val="Plan"/>
      <sheetName val="diverse"/>
      <sheetName val="creanta"/>
      <sheetName val="rez_cap"/>
      <sheetName val="q 2018 -2020 "/>
      <sheetName val="venit"/>
      <sheetName val="venit17 cond18"/>
      <sheetName val="venit18 (cond comp)"/>
      <sheetName val=" Tarife18_19"/>
      <sheetName val=" Tarife19_20"/>
      <sheetName val=" Tarife20_21"/>
      <sheetName val="pp"/>
      <sheetName val="bei"/>
      <sheetName val="PIF"/>
      <sheetName val="RAB 2032 defalcat"/>
      <sheetName val="ECR"/>
      <sheetName val="Anexa 5"/>
      <sheetName val="anal-fac (18_19)"/>
      <sheetName val="anal-fac (19_20)"/>
      <sheetName val="anal-fac (bvc) (2)"/>
    </sheetNames>
    <sheetDataSet>
      <sheetData sheetId="0"/>
      <sheetData sheetId="1"/>
      <sheetData sheetId="2"/>
      <sheetData sheetId="3">
        <row r="6">
          <cell r="M6">
            <v>4.55</v>
          </cell>
        </row>
      </sheetData>
      <sheetData sheetId="4"/>
      <sheetData sheetId="5"/>
      <sheetData sheetId="6"/>
      <sheetData sheetId="7">
        <row r="38">
          <cell r="D38">
            <v>387165842.453574</v>
          </cell>
        </row>
      </sheetData>
      <sheetData sheetId="8"/>
      <sheetData sheetId="9"/>
      <sheetData sheetId="10"/>
      <sheetData sheetId="11"/>
      <sheetData sheetId="12">
        <row r="58">
          <cell r="I58">
            <v>2245380.5855798707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D5">
            <v>2245380.5855798707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MWh"/>
      <sheetName val="Tarif 13-14 aprobat"/>
      <sheetName val="Pret CTeh"/>
      <sheetName val="PIF-13-17 new"/>
      <sheetName val="PIF-13-16 stimulent"/>
      <sheetName val="Q2013"/>
      <sheetName val="Q2014"/>
      <sheetName val="Q2015(1,4)"/>
      <sheetName val="Q2016(1,37)"/>
      <sheetName val="CP IV2013_2014"/>
      <sheetName val="CP 2014-2016_MWh"/>
      <sheetName val="INDICATORI 13-luna"/>
      <sheetName val="INDICATORI 14-luna"/>
      <sheetName val="Tarif 2013-2017"/>
      <sheetName val="Tarif puncte 14-15"/>
      <sheetName val="Tarif puncte 15-16"/>
      <sheetName val="Tarif puncte 16-17"/>
      <sheetName val="VENITURI 15-16"/>
      <sheetName val="Tarif_MWh"/>
      <sheetName val="Tarif_13-14_aprobat"/>
      <sheetName val="Pret_CTeh"/>
      <sheetName val="PIF-13-17_new"/>
      <sheetName val="PIF-13-16_stimulent"/>
      <sheetName val="CP_IV2013_2014"/>
      <sheetName val="CP_2014-2016_MWh"/>
      <sheetName val="INDICATORI_13-luna"/>
      <sheetName val="INDICATORI_14-luna"/>
      <sheetName val="Tarif_2013-2017"/>
      <sheetName val="Tarif_puncte_14-15"/>
      <sheetName val="Tarif_puncte_15-16"/>
      <sheetName val="Tarif_puncte_16-17"/>
      <sheetName val="VENITURI_15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51"/>
  <sheetViews>
    <sheetView zoomScale="110" zoomScaleNormal="110" workbookViewId="0">
      <selection activeCell="B3" sqref="B3:U3"/>
    </sheetView>
  </sheetViews>
  <sheetFormatPr defaultColWidth="9" defaultRowHeight="11.85" customHeight="1" x14ac:dyDescent="0.25"/>
  <cols>
    <col min="1" max="1" width="48.28515625" style="407" customWidth="1"/>
    <col min="2" max="2" width="13.28515625" style="408" customWidth="1"/>
    <col min="3" max="21" width="11.140625" style="408" customWidth="1"/>
    <col min="22" max="226" width="9" style="407"/>
    <col min="227" max="227" width="35.28515625" style="407" customWidth="1"/>
    <col min="228" max="251" width="11.140625" style="407" customWidth="1"/>
    <col min="252" max="482" width="9" style="407"/>
    <col min="483" max="483" width="35.28515625" style="407" customWidth="1"/>
    <col min="484" max="507" width="11.140625" style="407" customWidth="1"/>
    <col min="508" max="738" width="9" style="407"/>
    <col min="739" max="739" width="35.28515625" style="407" customWidth="1"/>
    <col min="740" max="763" width="11.140625" style="407" customWidth="1"/>
    <col min="764" max="994" width="9" style="407"/>
    <col min="995" max="995" width="35.28515625" style="407" customWidth="1"/>
    <col min="996" max="1019" width="11.140625" style="407" customWidth="1"/>
    <col min="1020" max="1250" width="9" style="407"/>
    <col min="1251" max="1251" width="35.28515625" style="407" customWidth="1"/>
    <col min="1252" max="1275" width="11.140625" style="407" customWidth="1"/>
    <col min="1276" max="1506" width="9" style="407"/>
    <col min="1507" max="1507" width="35.28515625" style="407" customWidth="1"/>
    <col min="1508" max="1531" width="11.140625" style="407" customWidth="1"/>
    <col min="1532" max="1762" width="9" style="407"/>
    <col min="1763" max="1763" width="35.28515625" style="407" customWidth="1"/>
    <col min="1764" max="1787" width="11.140625" style="407" customWidth="1"/>
    <col min="1788" max="2018" width="9" style="407"/>
    <col min="2019" max="2019" width="35.28515625" style="407" customWidth="1"/>
    <col min="2020" max="2043" width="11.140625" style="407" customWidth="1"/>
    <col min="2044" max="2274" width="9" style="407"/>
    <col min="2275" max="2275" width="35.28515625" style="407" customWidth="1"/>
    <col min="2276" max="2299" width="11.140625" style="407" customWidth="1"/>
    <col min="2300" max="2530" width="9" style="407"/>
    <col min="2531" max="2531" width="35.28515625" style="407" customWidth="1"/>
    <col min="2532" max="2555" width="11.140625" style="407" customWidth="1"/>
    <col min="2556" max="2786" width="9" style="407"/>
    <col min="2787" max="2787" width="35.28515625" style="407" customWidth="1"/>
    <col min="2788" max="2811" width="11.140625" style="407" customWidth="1"/>
    <col min="2812" max="3042" width="9" style="407"/>
    <col min="3043" max="3043" width="35.28515625" style="407" customWidth="1"/>
    <col min="3044" max="3067" width="11.140625" style="407" customWidth="1"/>
    <col min="3068" max="3298" width="9" style="407"/>
    <col min="3299" max="3299" width="35.28515625" style="407" customWidth="1"/>
    <col min="3300" max="3323" width="11.140625" style="407" customWidth="1"/>
    <col min="3324" max="3554" width="9" style="407"/>
    <col min="3555" max="3555" width="35.28515625" style="407" customWidth="1"/>
    <col min="3556" max="3579" width="11.140625" style="407" customWidth="1"/>
    <col min="3580" max="3810" width="9" style="407"/>
    <col min="3811" max="3811" width="35.28515625" style="407" customWidth="1"/>
    <col min="3812" max="3835" width="11.140625" style="407" customWidth="1"/>
    <col min="3836" max="4066" width="9" style="407"/>
    <col min="4067" max="4067" width="35.28515625" style="407" customWidth="1"/>
    <col min="4068" max="4091" width="11.140625" style="407" customWidth="1"/>
    <col min="4092" max="4322" width="9" style="407"/>
    <col min="4323" max="4323" width="35.28515625" style="407" customWidth="1"/>
    <col min="4324" max="4347" width="11.140625" style="407" customWidth="1"/>
    <col min="4348" max="4578" width="9" style="407"/>
    <col min="4579" max="4579" width="35.28515625" style="407" customWidth="1"/>
    <col min="4580" max="4603" width="11.140625" style="407" customWidth="1"/>
    <col min="4604" max="4834" width="9" style="407"/>
    <col min="4835" max="4835" width="35.28515625" style="407" customWidth="1"/>
    <col min="4836" max="4859" width="11.140625" style="407" customWidth="1"/>
    <col min="4860" max="5090" width="9" style="407"/>
    <col min="5091" max="5091" width="35.28515625" style="407" customWidth="1"/>
    <col min="5092" max="5115" width="11.140625" style="407" customWidth="1"/>
    <col min="5116" max="5346" width="9" style="407"/>
    <col min="5347" max="5347" width="35.28515625" style="407" customWidth="1"/>
    <col min="5348" max="5371" width="11.140625" style="407" customWidth="1"/>
    <col min="5372" max="5602" width="9" style="407"/>
    <col min="5603" max="5603" width="35.28515625" style="407" customWidth="1"/>
    <col min="5604" max="5627" width="11.140625" style="407" customWidth="1"/>
    <col min="5628" max="5858" width="9" style="407"/>
    <col min="5859" max="5859" width="35.28515625" style="407" customWidth="1"/>
    <col min="5860" max="5883" width="11.140625" style="407" customWidth="1"/>
    <col min="5884" max="6114" width="9" style="407"/>
    <col min="6115" max="6115" width="35.28515625" style="407" customWidth="1"/>
    <col min="6116" max="6139" width="11.140625" style="407" customWidth="1"/>
    <col min="6140" max="6370" width="9" style="407"/>
    <col min="6371" max="6371" width="35.28515625" style="407" customWidth="1"/>
    <col min="6372" max="6395" width="11.140625" style="407" customWidth="1"/>
    <col min="6396" max="6626" width="9" style="407"/>
    <col min="6627" max="6627" width="35.28515625" style="407" customWidth="1"/>
    <col min="6628" max="6651" width="11.140625" style="407" customWidth="1"/>
    <col min="6652" max="6882" width="9" style="407"/>
    <col min="6883" max="6883" width="35.28515625" style="407" customWidth="1"/>
    <col min="6884" max="6907" width="11.140625" style="407" customWidth="1"/>
    <col min="6908" max="7138" width="9" style="407"/>
    <col min="7139" max="7139" width="35.28515625" style="407" customWidth="1"/>
    <col min="7140" max="7163" width="11.140625" style="407" customWidth="1"/>
    <col min="7164" max="7394" width="9" style="407"/>
    <col min="7395" max="7395" width="35.28515625" style="407" customWidth="1"/>
    <col min="7396" max="7419" width="11.140625" style="407" customWidth="1"/>
    <col min="7420" max="7650" width="9" style="407"/>
    <col min="7651" max="7651" width="35.28515625" style="407" customWidth="1"/>
    <col min="7652" max="7675" width="11.140625" style="407" customWidth="1"/>
    <col min="7676" max="7906" width="9" style="407"/>
    <col min="7907" max="7907" width="35.28515625" style="407" customWidth="1"/>
    <col min="7908" max="7931" width="11.140625" style="407" customWidth="1"/>
    <col min="7932" max="8162" width="9" style="407"/>
    <col min="8163" max="8163" width="35.28515625" style="407" customWidth="1"/>
    <col min="8164" max="8187" width="11.140625" style="407" customWidth="1"/>
    <col min="8188" max="8418" width="9" style="407"/>
    <col min="8419" max="8419" width="35.28515625" style="407" customWidth="1"/>
    <col min="8420" max="8443" width="11.140625" style="407" customWidth="1"/>
    <col min="8444" max="8674" width="9" style="407"/>
    <col min="8675" max="8675" width="35.28515625" style="407" customWidth="1"/>
    <col min="8676" max="8699" width="11.140625" style="407" customWidth="1"/>
    <col min="8700" max="8930" width="9" style="407"/>
    <col min="8931" max="8931" width="35.28515625" style="407" customWidth="1"/>
    <col min="8932" max="8955" width="11.140625" style="407" customWidth="1"/>
    <col min="8956" max="9186" width="9" style="407"/>
    <col min="9187" max="9187" width="35.28515625" style="407" customWidth="1"/>
    <col min="9188" max="9211" width="11.140625" style="407" customWidth="1"/>
    <col min="9212" max="9442" width="9" style="407"/>
    <col min="9443" max="9443" width="35.28515625" style="407" customWidth="1"/>
    <col min="9444" max="9467" width="11.140625" style="407" customWidth="1"/>
    <col min="9468" max="9698" width="9" style="407"/>
    <col min="9699" max="9699" width="35.28515625" style="407" customWidth="1"/>
    <col min="9700" max="9723" width="11.140625" style="407" customWidth="1"/>
    <col min="9724" max="9954" width="9" style="407"/>
    <col min="9955" max="9955" width="35.28515625" style="407" customWidth="1"/>
    <col min="9956" max="9979" width="11.140625" style="407" customWidth="1"/>
    <col min="9980" max="10210" width="9" style="407"/>
    <col min="10211" max="10211" width="35.28515625" style="407" customWidth="1"/>
    <col min="10212" max="10235" width="11.140625" style="407" customWidth="1"/>
    <col min="10236" max="10466" width="9" style="407"/>
    <col min="10467" max="10467" width="35.28515625" style="407" customWidth="1"/>
    <col min="10468" max="10491" width="11.140625" style="407" customWidth="1"/>
    <col min="10492" max="10722" width="9" style="407"/>
    <col min="10723" max="10723" width="35.28515625" style="407" customWidth="1"/>
    <col min="10724" max="10747" width="11.140625" style="407" customWidth="1"/>
    <col min="10748" max="10978" width="9" style="407"/>
    <col min="10979" max="10979" width="35.28515625" style="407" customWidth="1"/>
    <col min="10980" max="11003" width="11.140625" style="407" customWidth="1"/>
    <col min="11004" max="11234" width="9" style="407"/>
    <col min="11235" max="11235" width="35.28515625" style="407" customWidth="1"/>
    <col min="11236" max="11259" width="11.140625" style="407" customWidth="1"/>
    <col min="11260" max="11490" width="9" style="407"/>
    <col min="11491" max="11491" width="35.28515625" style="407" customWidth="1"/>
    <col min="11492" max="11515" width="11.140625" style="407" customWidth="1"/>
    <col min="11516" max="11746" width="9" style="407"/>
    <col min="11747" max="11747" width="35.28515625" style="407" customWidth="1"/>
    <col min="11748" max="11771" width="11.140625" style="407" customWidth="1"/>
    <col min="11772" max="12002" width="9" style="407"/>
    <col min="12003" max="12003" width="35.28515625" style="407" customWidth="1"/>
    <col min="12004" max="12027" width="11.140625" style="407" customWidth="1"/>
    <col min="12028" max="12258" width="9" style="407"/>
    <col min="12259" max="12259" width="35.28515625" style="407" customWidth="1"/>
    <col min="12260" max="12283" width="11.140625" style="407" customWidth="1"/>
    <col min="12284" max="12514" width="9" style="407"/>
    <col min="12515" max="12515" width="35.28515625" style="407" customWidth="1"/>
    <col min="12516" max="12539" width="11.140625" style="407" customWidth="1"/>
    <col min="12540" max="12770" width="9" style="407"/>
    <col min="12771" max="12771" width="35.28515625" style="407" customWidth="1"/>
    <col min="12772" max="12795" width="11.140625" style="407" customWidth="1"/>
    <col min="12796" max="13026" width="9" style="407"/>
    <col min="13027" max="13027" width="35.28515625" style="407" customWidth="1"/>
    <col min="13028" max="13051" width="11.140625" style="407" customWidth="1"/>
    <col min="13052" max="13282" width="9" style="407"/>
    <col min="13283" max="13283" width="35.28515625" style="407" customWidth="1"/>
    <col min="13284" max="13307" width="11.140625" style="407" customWidth="1"/>
    <col min="13308" max="13538" width="9" style="407"/>
    <col min="13539" max="13539" width="35.28515625" style="407" customWidth="1"/>
    <col min="13540" max="13563" width="11.140625" style="407" customWidth="1"/>
    <col min="13564" max="13794" width="9" style="407"/>
    <col min="13795" max="13795" width="35.28515625" style="407" customWidth="1"/>
    <col min="13796" max="13819" width="11.140625" style="407" customWidth="1"/>
    <col min="13820" max="14050" width="9" style="407"/>
    <col min="14051" max="14051" width="35.28515625" style="407" customWidth="1"/>
    <col min="14052" max="14075" width="11.140625" style="407" customWidth="1"/>
    <col min="14076" max="14306" width="9" style="407"/>
    <col min="14307" max="14307" width="35.28515625" style="407" customWidth="1"/>
    <col min="14308" max="14331" width="11.140625" style="407" customWidth="1"/>
    <col min="14332" max="14562" width="9" style="407"/>
    <col min="14563" max="14563" width="35.28515625" style="407" customWidth="1"/>
    <col min="14564" max="14587" width="11.140625" style="407" customWidth="1"/>
    <col min="14588" max="14818" width="9" style="407"/>
    <col min="14819" max="14819" width="35.28515625" style="407" customWidth="1"/>
    <col min="14820" max="14843" width="11.140625" style="407" customWidth="1"/>
    <col min="14844" max="15074" width="9" style="407"/>
    <col min="15075" max="15075" width="35.28515625" style="407" customWidth="1"/>
    <col min="15076" max="15099" width="11.140625" style="407" customWidth="1"/>
    <col min="15100" max="15330" width="9" style="407"/>
    <col min="15331" max="15331" width="35.28515625" style="407" customWidth="1"/>
    <col min="15332" max="15355" width="11.140625" style="407" customWidth="1"/>
    <col min="15356" max="15586" width="9" style="407"/>
    <col min="15587" max="15587" width="35.28515625" style="407" customWidth="1"/>
    <col min="15588" max="15611" width="11.140625" style="407" customWidth="1"/>
    <col min="15612" max="15842" width="9" style="407"/>
    <col min="15843" max="15843" width="35.28515625" style="407" customWidth="1"/>
    <col min="15844" max="15867" width="11.140625" style="407" customWidth="1"/>
    <col min="15868" max="16098" width="9" style="407"/>
    <col min="16099" max="16099" width="35.28515625" style="407" customWidth="1"/>
    <col min="16100" max="16123" width="11.140625" style="407" customWidth="1"/>
    <col min="16124" max="16384" width="9" style="407"/>
  </cols>
  <sheetData>
    <row r="1" spans="1:21" ht="11.85" customHeight="1" thickBot="1" x14ac:dyDescent="0.3"/>
    <row r="2" spans="1:21" ht="11.85" customHeight="1" thickTop="1" x14ac:dyDescent="0.35">
      <c r="B2" s="461" t="s">
        <v>335</v>
      </c>
      <c r="C2" s="462"/>
      <c r="D2" s="462"/>
      <c r="E2" s="463"/>
      <c r="F2" s="461" t="s">
        <v>336</v>
      </c>
      <c r="G2" s="462"/>
      <c r="H2" s="462"/>
      <c r="I2" s="463"/>
      <c r="J2" s="461" t="s">
        <v>337</v>
      </c>
      <c r="K2" s="462"/>
      <c r="L2" s="462"/>
      <c r="M2" s="463"/>
      <c r="N2" s="461" t="s">
        <v>338</v>
      </c>
      <c r="O2" s="462"/>
      <c r="P2" s="462"/>
      <c r="Q2" s="463"/>
      <c r="R2" s="461" t="s">
        <v>339</v>
      </c>
      <c r="S2" s="462"/>
      <c r="T2" s="462"/>
      <c r="U2" s="463"/>
    </row>
    <row r="3" spans="1:21" s="408" customFormat="1" ht="11.85" customHeight="1" x14ac:dyDescent="0.35">
      <c r="A3" s="409" t="s">
        <v>305</v>
      </c>
      <c r="B3" s="464">
        <v>1332108.8328962084</v>
      </c>
      <c r="C3" s="465"/>
      <c r="D3" s="465"/>
      <c r="E3" s="465"/>
      <c r="F3" s="466">
        <v>1487648.5857100312</v>
      </c>
      <c r="G3" s="467"/>
      <c r="H3" s="467"/>
      <c r="I3" s="468"/>
      <c r="J3" s="466">
        <v>1771498.3813971777</v>
      </c>
      <c r="K3" s="467"/>
      <c r="L3" s="467"/>
      <c r="M3" s="468"/>
      <c r="N3" s="466">
        <v>2125888.9628310972</v>
      </c>
      <c r="O3" s="467"/>
      <c r="P3" s="467"/>
      <c r="Q3" s="468"/>
      <c r="R3" s="466">
        <v>2156363.3051613551</v>
      </c>
      <c r="S3" s="467"/>
      <c r="T3" s="467"/>
      <c r="U3" s="468"/>
    </row>
    <row r="4" spans="1:21" s="408" customFormat="1" ht="11.85" customHeight="1" x14ac:dyDescent="0.25">
      <c r="A4" s="410" t="s">
        <v>306</v>
      </c>
      <c r="B4" s="411"/>
      <c r="C4" s="412"/>
      <c r="D4" s="413">
        <f>+B3*D5*D6</f>
        <v>499540.81233607815</v>
      </c>
      <c r="E4" s="414">
        <f>+B3*E5*E6</f>
        <v>499540.81233607815</v>
      </c>
      <c r="F4" s="415"/>
      <c r="G4" s="416"/>
      <c r="H4" s="413">
        <f>+F3*H5*H6</f>
        <v>595059.43428401253</v>
      </c>
      <c r="I4" s="414">
        <f>+F3*I5*I6</f>
        <v>595059.43428401253</v>
      </c>
      <c r="J4" s="415"/>
      <c r="K4" s="416"/>
      <c r="L4" s="413">
        <f>+J3*L5*L6</f>
        <v>752886.81209380052</v>
      </c>
      <c r="M4" s="414">
        <f>+J3*M5*M6</f>
        <v>752886.81209380052</v>
      </c>
      <c r="N4" s="415"/>
      <c r="O4" s="416"/>
      <c r="P4" s="413">
        <f>+N3*P5*P6</f>
        <v>903502.80920321622</v>
      </c>
      <c r="Q4" s="414">
        <f>+N3*Q5*Q6</f>
        <v>903502.80920321622</v>
      </c>
      <c r="R4" s="415"/>
      <c r="S4" s="416"/>
      <c r="T4" s="413">
        <f>+R3*T5*T6</f>
        <v>916454.40469357593</v>
      </c>
      <c r="U4" s="414">
        <f>+R3*U5*U6</f>
        <v>916454.40469357593</v>
      </c>
    </row>
    <row r="5" spans="1:21" s="408" customFormat="1" ht="11.85" customHeight="1" x14ac:dyDescent="0.25">
      <c r="A5" s="410" t="s">
        <v>307</v>
      </c>
      <c r="B5" s="411"/>
      <c r="C5" s="412"/>
      <c r="D5" s="417">
        <v>0.75</v>
      </c>
      <c r="E5" s="418">
        <v>0.75</v>
      </c>
      <c r="F5" s="411"/>
      <c r="G5" s="412"/>
      <c r="H5" s="417">
        <v>0.8</v>
      </c>
      <c r="I5" s="418">
        <v>0.8</v>
      </c>
      <c r="J5" s="411"/>
      <c r="K5" s="412"/>
      <c r="L5" s="417">
        <v>0.85</v>
      </c>
      <c r="M5" s="417">
        <v>0.85</v>
      </c>
      <c r="N5" s="411"/>
      <c r="O5" s="412"/>
      <c r="P5" s="417">
        <v>0.85</v>
      </c>
      <c r="Q5" s="417">
        <v>0.85</v>
      </c>
      <c r="R5" s="411"/>
      <c r="S5" s="412"/>
      <c r="T5" s="417">
        <v>0.85</v>
      </c>
      <c r="U5" s="417">
        <v>0.85</v>
      </c>
    </row>
    <row r="6" spans="1:21" s="408" customFormat="1" ht="12" customHeight="1" thickBot="1" x14ac:dyDescent="0.3">
      <c r="A6" s="419" t="s">
        <v>308</v>
      </c>
      <c r="B6" s="420"/>
      <c r="C6" s="421"/>
      <c r="D6" s="422">
        <v>0.5</v>
      </c>
      <c r="E6" s="423">
        <v>0.5</v>
      </c>
      <c r="F6" s="420"/>
      <c r="G6" s="421"/>
      <c r="H6" s="422">
        <v>0.5</v>
      </c>
      <c r="I6" s="423">
        <v>0.5</v>
      </c>
      <c r="J6" s="420"/>
      <c r="K6" s="421"/>
      <c r="L6" s="422">
        <v>0.5</v>
      </c>
      <c r="M6" s="423">
        <v>0.5</v>
      </c>
      <c r="N6" s="420"/>
      <c r="O6" s="421"/>
      <c r="P6" s="422">
        <v>0.5</v>
      </c>
      <c r="Q6" s="423">
        <v>0.5</v>
      </c>
      <c r="R6" s="420"/>
      <c r="S6" s="421"/>
      <c r="T6" s="422">
        <v>0.5</v>
      </c>
      <c r="U6" s="423">
        <v>0.5</v>
      </c>
    </row>
    <row r="7" spans="1:21" s="408" customFormat="1" ht="23.85" customHeight="1" thickTop="1" x14ac:dyDescent="0.25">
      <c r="A7" s="424" t="s">
        <v>309</v>
      </c>
      <c r="B7" s="425"/>
      <c r="C7" s="426"/>
      <c r="D7" s="427" t="s">
        <v>310</v>
      </c>
      <c r="E7" s="428" t="s">
        <v>311</v>
      </c>
      <c r="F7" s="425"/>
      <c r="G7" s="426"/>
      <c r="H7" s="427" t="s">
        <v>310</v>
      </c>
      <c r="I7" s="428" t="s">
        <v>311</v>
      </c>
      <c r="J7" s="425"/>
      <c r="K7" s="426"/>
      <c r="L7" s="427" t="s">
        <v>310</v>
      </c>
      <c r="M7" s="428" t="s">
        <v>311</v>
      </c>
      <c r="N7" s="425"/>
      <c r="O7" s="426"/>
      <c r="P7" s="427" t="s">
        <v>310</v>
      </c>
      <c r="Q7" s="428" t="s">
        <v>311</v>
      </c>
      <c r="R7" s="425"/>
      <c r="S7" s="426"/>
      <c r="T7" s="427" t="s">
        <v>310</v>
      </c>
      <c r="U7" s="428" t="s">
        <v>311</v>
      </c>
    </row>
    <row r="8" spans="1:21" s="408" customFormat="1" ht="11.85" customHeight="1" x14ac:dyDescent="0.25">
      <c r="A8" s="431" t="s">
        <v>312</v>
      </c>
      <c r="B8" s="432" t="s">
        <v>313</v>
      </c>
      <c r="C8" s="433" t="s">
        <v>314</v>
      </c>
      <c r="D8" s="459" t="s">
        <v>315</v>
      </c>
      <c r="E8" s="460"/>
      <c r="F8" s="432" t="s">
        <v>313</v>
      </c>
      <c r="G8" s="433" t="s">
        <v>314</v>
      </c>
      <c r="H8" s="459" t="s">
        <v>315</v>
      </c>
      <c r="I8" s="460"/>
      <c r="J8" s="432" t="s">
        <v>313</v>
      </c>
      <c r="K8" s="433" t="s">
        <v>314</v>
      </c>
      <c r="L8" s="459" t="s">
        <v>315</v>
      </c>
      <c r="M8" s="460"/>
      <c r="N8" s="432" t="s">
        <v>313</v>
      </c>
      <c r="O8" s="433" t="s">
        <v>314</v>
      </c>
      <c r="P8" s="459" t="s">
        <v>315</v>
      </c>
      <c r="Q8" s="460"/>
      <c r="R8" s="432" t="s">
        <v>313</v>
      </c>
      <c r="S8" s="433" t="s">
        <v>314</v>
      </c>
      <c r="T8" s="459" t="s">
        <v>315</v>
      </c>
      <c r="U8" s="460"/>
    </row>
    <row r="9" spans="1:21" s="408" customFormat="1" ht="11.85" customHeight="1" x14ac:dyDescent="0.25">
      <c r="A9" s="434" t="s">
        <v>316</v>
      </c>
      <c r="B9" s="435">
        <v>8760</v>
      </c>
      <c r="C9" s="436">
        <v>1</v>
      </c>
      <c r="D9" s="437">
        <v>17826.368051210033</v>
      </c>
      <c r="E9" s="438">
        <v>31433.963747309252</v>
      </c>
      <c r="F9" s="435">
        <v>8760</v>
      </c>
      <c r="G9" s="439">
        <v>1</v>
      </c>
      <c r="H9" s="437">
        <v>20818.451384543368</v>
      </c>
      <c r="I9" s="438">
        <v>34426.047080642587</v>
      </c>
      <c r="J9" s="435">
        <v>8760</v>
      </c>
      <c r="K9" s="439">
        <v>1</v>
      </c>
      <c r="L9" s="437">
        <v>28580.118051210033</v>
      </c>
      <c r="M9" s="438">
        <v>32427.713747309252</v>
      </c>
      <c r="N9" s="435">
        <v>8760</v>
      </c>
      <c r="O9" s="439">
        <v>1</v>
      </c>
      <c r="P9" s="437">
        <v>28580.118051210033</v>
      </c>
      <c r="Q9" s="438">
        <v>32427.713747309252</v>
      </c>
      <c r="R9" s="435">
        <v>8760</v>
      </c>
      <c r="S9" s="439">
        <v>1</v>
      </c>
      <c r="T9" s="437">
        <v>31708.404879301383</v>
      </c>
      <c r="U9" s="438">
        <v>35645.273527392586</v>
      </c>
    </row>
    <row r="10" spans="1:21" s="408" customFormat="1" ht="11.85" customHeight="1" x14ac:dyDescent="0.25">
      <c r="A10" s="434" t="s">
        <v>317</v>
      </c>
      <c r="B10" s="435">
        <v>8760</v>
      </c>
      <c r="C10" s="439">
        <v>0.5</v>
      </c>
      <c r="D10" s="437">
        <v>936.06885483999565</v>
      </c>
      <c r="E10" s="438"/>
      <c r="F10" s="435">
        <v>8760</v>
      </c>
      <c r="G10" s="439">
        <v>0.5</v>
      </c>
      <c r="H10" s="437">
        <v>936.06885483999565</v>
      </c>
      <c r="I10" s="438"/>
      <c r="J10" s="435">
        <v>8760</v>
      </c>
      <c r="K10" s="439">
        <v>0.5</v>
      </c>
      <c r="L10" s="437">
        <v>936.06885483999565</v>
      </c>
      <c r="M10" s="438"/>
      <c r="N10" s="435">
        <v>8760</v>
      </c>
      <c r="O10" s="439">
        <v>0.5</v>
      </c>
      <c r="P10" s="437">
        <v>936.06885483999565</v>
      </c>
      <c r="Q10" s="438"/>
      <c r="R10" s="435">
        <v>8760</v>
      </c>
      <c r="S10" s="439">
        <v>0.5</v>
      </c>
      <c r="T10" s="437">
        <v>936.06885483999565</v>
      </c>
      <c r="U10" s="438"/>
    </row>
    <row r="11" spans="1:21" s="408" customFormat="1" ht="11.85" customHeight="1" x14ac:dyDescent="0.25">
      <c r="A11" s="434" t="s">
        <v>318</v>
      </c>
      <c r="B11" s="435">
        <v>8760</v>
      </c>
      <c r="C11" s="439">
        <v>0.5</v>
      </c>
      <c r="D11" s="437"/>
      <c r="E11" s="438">
        <v>1835.4968018394873</v>
      </c>
      <c r="F11" s="435">
        <v>8760</v>
      </c>
      <c r="G11" s="439">
        <v>0.5</v>
      </c>
      <c r="H11" s="437"/>
      <c r="I11" s="438">
        <v>1835.4968018394873</v>
      </c>
      <c r="J11" s="435">
        <v>8760</v>
      </c>
      <c r="K11" s="439">
        <v>0.5</v>
      </c>
      <c r="L11" s="437"/>
      <c r="M11" s="438">
        <v>1835.4968018394873</v>
      </c>
      <c r="N11" s="435">
        <v>8760</v>
      </c>
      <c r="O11" s="439">
        <v>0.5</v>
      </c>
      <c r="P11" s="437"/>
      <c r="Q11" s="438">
        <v>1835.4968018394873</v>
      </c>
      <c r="R11" s="435">
        <v>8760</v>
      </c>
      <c r="S11" s="439">
        <v>0.5</v>
      </c>
      <c r="T11" s="437"/>
      <c r="U11" s="438">
        <v>1835.4968018394873</v>
      </c>
    </row>
    <row r="12" spans="1:21" s="408" customFormat="1" ht="11.85" customHeight="1" x14ac:dyDescent="0.25">
      <c r="A12" s="434" t="s">
        <v>319</v>
      </c>
      <c r="B12" s="435">
        <v>2208</v>
      </c>
      <c r="C12" s="439">
        <v>1.5185125850415957</v>
      </c>
      <c r="D12" s="437">
        <v>3356.1190086235451</v>
      </c>
      <c r="E12" s="438">
        <v>1165.4274431909712</v>
      </c>
      <c r="F12" s="435">
        <v>2208</v>
      </c>
      <c r="G12" s="439">
        <v>1.1823493721390603</v>
      </c>
      <c r="H12" s="437">
        <v>3356.1190086235451</v>
      </c>
      <c r="I12" s="438">
        <v>1165.4274431909712</v>
      </c>
      <c r="J12" s="435">
        <v>2208</v>
      </c>
      <c r="K12" s="439">
        <v>1.4724214561544722</v>
      </c>
      <c r="L12" s="437">
        <v>3356.1190086235451</v>
      </c>
      <c r="M12" s="438">
        <v>1165.4274431909712</v>
      </c>
      <c r="N12" s="435">
        <v>2208</v>
      </c>
      <c r="O12" s="439">
        <v>1.4724214561544722</v>
      </c>
      <c r="P12" s="437">
        <v>3356.1190086235451</v>
      </c>
      <c r="Q12" s="438">
        <v>1165.4274431909712</v>
      </c>
      <c r="R12" s="435">
        <v>2208</v>
      </c>
      <c r="S12" s="439">
        <v>1.4724214561544722</v>
      </c>
      <c r="T12" s="437">
        <v>3356.1190086235451</v>
      </c>
      <c r="U12" s="438">
        <v>1165.4274431909712</v>
      </c>
    </row>
    <row r="13" spans="1:21" s="408" customFormat="1" ht="11.85" customHeight="1" x14ac:dyDescent="0.25">
      <c r="A13" s="434" t="s">
        <v>343</v>
      </c>
      <c r="B13" s="435">
        <v>2208</v>
      </c>
      <c r="C13" s="439">
        <v>0.75925629252079785</v>
      </c>
      <c r="D13" s="437">
        <v>12.707146666872832</v>
      </c>
      <c r="E13" s="438"/>
      <c r="F13" s="435">
        <v>2208</v>
      </c>
      <c r="G13" s="439">
        <v>0.59117468606953016</v>
      </c>
      <c r="H13" s="437">
        <v>12.707146666872832</v>
      </c>
      <c r="I13" s="438"/>
      <c r="J13" s="435">
        <v>2208</v>
      </c>
      <c r="K13" s="439">
        <v>0.73621072807723609</v>
      </c>
      <c r="L13" s="437">
        <v>12.707146666872832</v>
      </c>
      <c r="M13" s="438"/>
      <c r="N13" s="435">
        <v>2208</v>
      </c>
      <c r="O13" s="439">
        <v>0.73621072807723609</v>
      </c>
      <c r="P13" s="437">
        <v>12.707146666872832</v>
      </c>
      <c r="Q13" s="438"/>
      <c r="R13" s="435">
        <v>2208</v>
      </c>
      <c r="S13" s="439">
        <v>0.73621072807723609</v>
      </c>
      <c r="T13" s="437">
        <v>12.707146666872832</v>
      </c>
      <c r="U13" s="438"/>
    </row>
    <row r="14" spans="1:21" s="408" customFormat="1" ht="11.85" customHeight="1" x14ac:dyDescent="0.25">
      <c r="A14" s="434" t="s">
        <v>320</v>
      </c>
      <c r="B14" s="435">
        <v>2160</v>
      </c>
      <c r="C14" s="439">
        <v>1.7104305453885036</v>
      </c>
      <c r="D14" s="437">
        <v>3790.6050882259528</v>
      </c>
      <c r="E14" s="438">
        <v>1748.4830818781622</v>
      </c>
      <c r="F14" s="435">
        <v>2160</v>
      </c>
      <c r="G14" s="439">
        <v>1.3317811793915235</v>
      </c>
      <c r="H14" s="437">
        <v>3790.6050882259528</v>
      </c>
      <c r="I14" s="438">
        <v>1748.4830818781622</v>
      </c>
      <c r="J14" s="435">
        <v>2160</v>
      </c>
      <c r="K14" s="439">
        <v>1.5891521190286824</v>
      </c>
      <c r="L14" s="437">
        <v>3790.6050882259528</v>
      </c>
      <c r="M14" s="438">
        <v>1748.4830818781622</v>
      </c>
      <c r="N14" s="435">
        <v>2160</v>
      </c>
      <c r="O14" s="439">
        <v>1.5891521190286824</v>
      </c>
      <c r="P14" s="437">
        <v>3790.6050882259528</v>
      </c>
      <c r="Q14" s="438">
        <v>1748.4830818781622</v>
      </c>
      <c r="R14" s="435">
        <v>2160</v>
      </c>
      <c r="S14" s="439">
        <v>1.5891521190286824</v>
      </c>
      <c r="T14" s="437">
        <v>3790.6050882259528</v>
      </c>
      <c r="U14" s="438">
        <v>1748.4830818781622</v>
      </c>
    </row>
    <row r="15" spans="1:21" s="408" customFormat="1" ht="11.85" customHeight="1" x14ac:dyDescent="0.25">
      <c r="A15" s="434" t="s">
        <v>344</v>
      </c>
      <c r="B15" s="435">
        <v>2160</v>
      </c>
      <c r="C15" s="439">
        <v>0.85521527269425179</v>
      </c>
      <c r="D15" s="437">
        <v>1171.8949117740472</v>
      </c>
      <c r="E15" s="438"/>
      <c r="F15" s="435">
        <v>2160</v>
      </c>
      <c r="G15" s="439">
        <v>0.66589058969576176</v>
      </c>
      <c r="H15" s="437">
        <v>1171.8949117740472</v>
      </c>
      <c r="I15" s="438"/>
      <c r="J15" s="435">
        <v>2160</v>
      </c>
      <c r="K15" s="439">
        <v>0.79457605951434118</v>
      </c>
      <c r="L15" s="437">
        <v>1171.8949117740472</v>
      </c>
      <c r="M15" s="438"/>
      <c r="N15" s="435">
        <v>2160</v>
      </c>
      <c r="O15" s="439">
        <v>0.79457605951434118</v>
      </c>
      <c r="P15" s="437">
        <v>1171.8949117740472</v>
      </c>
      <c r="Q15" s="438"/>
      <c r="R15" s="435">
        <v>2160</v>
      </c>
      <c r="S15" s="439">
        <v>0.79457605951434118</v>
      </c>
      <c r="T15" s="437">
        <v>1171.8949117740472</v>
      </c>
      <c r="U15" s="438"/>
    </row>
    <row r="16" spans="1:21" s="408" customFormat="1" ht="11.85" customHeight="1" x14ac:dyDescent="0.25">
      <c r="A16" s="434" t="s">
        <v>321</v>
      </c>
      <c r="B16" s="435">
        <v>2184</v>
      </c>
      <c r="C16" s="439">
        <v>0.91605862043843567</v>
      </c>
      <c r="D16" s="437">
        <v>75.75</v>
      </c>
      <c r="E16" s="438">
        <v>60.779242672379219</v>
      </c>
      <c r="F16" s="435">
        <v>2184</v>
      </c>
      <c r="G16" s="439">
        <v>0.71326464158891989</v>
      </c>
      <c r="H16" s="437">
        <v>75.75</v>
      </c>
      <c r="I16" s="438">
        <v>60.779242672379219</v>
      </c>
      <c r="J16" s="435">
        <v>2184</v>
      </c>
      <c r="K16" s="439">
        <v>1.0727246255235781</v>
      </c>
      <c r="L16" s="437">
        <v>75.75</v>
      </c>
      <c r="M16" s="438">
        <v>60.779242672379219</v>
      </c>
      <c r="N16" s="435">
        <v>2184</v>
      </c>
      <c r="O16" s="439">
        <v>1.0727246255235781</v>
      </c>
      <c r="P16" s="437">
        <v>75.75</v>
      </c>
      <c r="Q16" s="438">
        <v>60.779242672379219</v>
      </c>
      <c r="R16" s="435">
        <v>2184</v>
      </c>
      <c r="S16" s="439">
        <v>1.0727246255235781</v>
      </c>
      <c r="T16" s="437">
        <v>75.75</v>
      </c>
      <c r="U16" s="438">
        <v>60.779242672379219</v>
      </c>
    </row>
    <row r="17" spans="1:21" s="408" customFormat="1" ht="11.85" customHeight="1" x14ac:dyDescent="0.25">
      <c r="A17" s="434" t="s">
        <v>345</v>
      </c>
      <c r="B17" s="435">
        <v>2184</v>
      </c>
      <c r="C17" s="439">
        <v>0.45802931021921783</v>
      </c>
      <c r="D17" s="437"/>
      <c r="E17" s="438"/>
      <c r="F17" s="435">
        <v>2184</v>
      </c>
      <c r="G17" s="439">
        <v>0.35663232079445994</v>
      </c>
      <c r="H17" s="437"/>
      <c r="I17" s="438"/>
      <c r="J17" s="435">
        <v>2184</v>
      </c>
      <c r="K17" s="439">
        <v>0.53636231276178903</v>
      </c>
      <c r="L17" s="437"/>
      <c r="M17" s="438"/>
      <c r="N17" s="435">
        <v>2184</v>
      </c>
      <c r="O17" s="439">
        <v>0.53636231276178903</v>
      </c>
      <c r="P17" s="437"/>
      <c r="Q17" s="438"/>
      <c r="R17" s="435">
        <v>2184</v>
      </c>
      <c r="S17" s="439">
        <v>0.53636231276178903</v>
      </c>
      <c r="T17" s="437"/>
      <c r="U17" s="438"/>
    </row>
    <row r="18" spans="1:21" s="408" customFormat="1" ht="11.85" customHeight="1" x14ac:dyDescent="0.25">
      <c r="A18" s="434" t="s">
        <v>322</v>
      </c>
      <c r="B18" s="435">
        <v>2208</v>
      </c>
      <c r="C18" s="439">
        <v>1.0549982491314653</v>
      </c>
      <c r="D18" s="437">
        <v>42.083333333333336</v>
      </c>
      <c r="E18" s="438">
        <v>56.124221138268815</v>
      </c>
      <c r="F18" s="435">
        <v>2208</v>
      </c>
      <c r="G18" s="439">
        <v>1.9726048068804964</v>
      </c>
      <c r="H18" s="437">
        <v>42.083333333333336</v>
      </c>
      <c r="I18" s="438">
        <v>56.124221138268815</v>
      </c>
      <c r="J18" s="435">
        <v>2208</v>
      </c>
      <c r="K18" s="439">
        <v>1.065701799293268</v>
      </c>
      <c r="L18" s="437">
        <v>42.083333333333336</v>
      </c>
      <c r="M18" s="438">
        <v>56.124221138268815</v>
      </c>
      <c r="N18" s="435">
        <v>2208</v>
      </c>
      <c r="O18" s="439">
        <v>1.065701799293268</v>
      </c>
      <c r="P18" s="437">
        <v>42.083333333333336</v>
      </c>
      <c r="Q18" s="438">
        <v>56.124221138268815</v>
      </c>
      <c r="R18" s="435">
        <v>2208</v>
      </c>
      <c r="S18" s="439">
        <v>1.065701799293268</v>
      </c>
      <c r="T18" s="437">
        <v>42.083333333333336</v>
      </c>
      <c r="U18" s="438">
        <v>56.124221138268815</v>
      </c>
    </row>
    <row r="19" spans="1:21" s="408" customFormat="1" ht="11.85" customHeight="1" x14ac:dyDescent="0.25">
      <c r="A19" s="434" t="s">
        <v>346</v>
      </c>
      <c r="B19" s="435">
        <v>2208</v>
      </c>
      <c r="C19" s="439">
        <v>0.52749912456573267</v>
      </c>
      <c r="D19" s="437"/>
      <c r="E19" s="438"/>
      <c r="F19" s="435">
        <v>2208</v>
      </c>
      <c r="G19" s="439">
        <v>0.98630240344024822</v>
      </c>
      <c r="H19" s="437"/>
      <c r="I19" s="438"/>
      <c r="J19" s="435">
        <v>2208</v>
      </c>
      <c r="K19" s="439">
        <v>0.53285089964663401</v>
      </c>
      <c r="L19" s="437"/>
      <c r="M19" s="438"/>
      <c r="N19" s="435">
        <v>2208</v>
      </c>
      <c r="O19" s="439">
        <v>0.53285089964663401</v>
      </c>
      <c r="P19" s="437"/>
      <c r="Q19" s="438"/>
      <c r="R19" s="435">
        <v>2208</v>
      </c>
      <c r="S19" s="439">
        <v>0.53285089964663401</v>
      </c>
      <c r="T19" s="437"/>
      <c r="U19" s="438"/>
    </row>
    <row r="20" spans="1:21" s="408" customFormat="1" ht="11.85" customHeight="1" x14ac:dyDescent="0.25">
      <c r="A20" s="434" t="s">
        <v>323</v>
      </c>
      <c r="B20" s="435">
        <v>744</v>
      </c>
      <c r="C20" s="439">
        <v>1.3576129739155638</v>
      </c>
      <c r="D20" s="437">
        <v>75</v>
      </c>
      <c r="E20" s="438"/>
      <c r="F20" s="435">
        <v>744</v>
      </c>
      <c r="G20" s="439">
        <v>1.0570691761984572</v>
      </c>
      <c r="H20" s="437">
        <v>75</v>
      </c>
      <c r="I20" s="438"/>
      <c r="J20" s="435">
        <v>744</v>
      </c>
      <c r="K20" s="439">
        <v>1.4462366396697988</v>
      </c>
      <c r="L20" s="437">
        <v>75</v>
      </c>
      <c r="M20" s="438"/>
      <c r="N20" s="435">
        <v>744</v>
      </c>
      <c r="O20" s="439">
        <v>1.4462366396697988</v>
      </c>
      <c r="P20" s="437">
        <v>75</v>
      </c>
      <c r="Q20" s="438"/>
      <c r="R20" s="435">
        <v>744</v>
      </c>
      <c r="S20" s="439">
        <v>1.4462366396697988</v>
      </c>
      <c r="T20" s="437">
        <v>75</v>
      </c>
      <c r="U20" s="438"/>
    </row>
    <row r="21" spans="1:21" s="408" customFormat="1" ht="11.85" customHeight="1" x14ac:dyDescent="0.25">
      <c r="A21" s="434" t="s">
        <v>347</v>
      </c>
      <c r="B21" s="435">
        <v>744</v>
      </c>
      <c r="C21" s="439">
        <v>0.6788064869577819</v>
      </c>
      <c r="D21" s="437"/>
      <c r="E21" s="438"/>
      <c r="F21" s="435">
        <v>744</v>
      </c>
      <c r="G21" s="439">
        <v>0.5285345880992286</v>
      </c>
      <c r="H21" s="437"/>
      <c r="I21" s="438"/>
      <c r="J21" s="435">
        <v>744</v>
      </c>
      <c r="K21" s="439">
        <v>0.72311831983489938</v>
      </c>
      <c r="L21" s="437"/>
      <c r="M21" s="438"/>
      <c r="N21" s="435">
        <v>744</v>
      </c>
      <c r="O21" s="439">
        <v>0.72311831983489938</v>
      </c>
      <c r="P21" s="437"/>
      <c r="Q21" s="438"/>
      <c r="R21" s="435">
        <v>744</v>
      </c>
      <c r="S21" s="439">
        <v>0.72311831983489938</v>
      </c>
      <c r="T21" s="437"/>
      <c r="U21" s="438"/>
    </row>
    <row r="22" spans="1:21" s="408" customFormat="1" ht="11.85" customHeight="1" x14ac:dyDescent="0.25">
      <c r="A22" s="434" t="s">
        <v>324</v>
      </c>
      <c r="B22" s="435">
        <v>720</v>
      </c>
      <c r="C22" s="439">
        <v>1.5739981246921284</v>
      </c>
      <c r="D22" s="437">
        <v>2330.7881151920637</v>
      </c>
      <c r="E22" s="438">
        <v>915.01868701309786</v>
      </c>
      <c r="F22" s="435">
        <v>720</v>
      </c>
      <c r="G22" s="439">
        <v>1.2255517094886761</v>
      </c>
      <c r="H22" s="437">
        <v>2330.7881151920637</v>
      </c>
      <c r="I22" s="438">
        <v>915.01868701309786</v>
      </c>
      <c r="J22" s="435">
        <v>720</v>
      </c>
      <c r="K22" s="439">
        <v>1.589098104850081</v>
      </c>
      <c r="L22" s="437">
        <v>2330.7881151920637</v>
      </c>
      <c r="M22" s="438">
        <v>915.01868701309786</v>
      </c>
      <c r="N22" s="435">
        <v>720</v>
      </c>
      <c r="O22" s="439">
        <v>1.589098104850081</v>
      </c>
      <c r="P22" s="437">
        <v>2330.7881151920637</v>
      </c>
      <c r="Q22" s="438">
        <v>915.01868701309786</v>
      </c>
      <c r="R22" s="435">
        <v>720</v>
      </c>
      <c r="S22" s="439">
        <v>1.589098104850081</v>
      </c>
      <c r="T22" s="437">
        <v>2330.7881151920637</v>
      </c>
      <c r="U22" s="438">
        <v>915.01868701309786</v>
      </c>
    </row>
    <row r="23" spans="1:21" s="408" customFormat="1" ht="11.85" customHeight="1" x14ac:dyDescent="0.25">
      <c r="A23" s="434" t="s">
        <v>348</v>
      </c>
      <c r="B23" s="435">
        <v>720</v>
      </c>
      <c r="C23" s="439">
        <v>0.7869990623460642</v>
      </c>
      <c r="D23" s="437">
        <v>252.54521814126952</v>
      </c>
      <c r="E23" s="438"/>
      <c r="F23" s="435">
        <v>720</v>
      </c>
      <c r="G23" s="439">
        <v>0.61277585474433804</v>
      </c>
      <c r="H23" s="437">
        <v>252.54521814126952</v>
      </c>
      <c r="I23" s="438"/>
      <c r="J23" s="435">
        <v>720</v>
      </c>
      <c r="K23" s="439">
        <v>0.79454905242504048</v>
      </c>
      <c r="L23" s="437">
        <v>252.54521814126952</v>
      </c>
      <c r="M23" s="438"/>
      <c r="N23" s="435">
        <v>720</v>
      </c>
      <c r="O23" s="439">
        <v>0.79454905242504048</v>
      </c>
      <c r="P23" s="437">
        <v>252.54521814126952</v>
      </c>
      <c r="Q23" s="438"/>
      <c r="R23" s="435">
        <v>720</v>
      </c>
      <c r="S23" s="439">
        <v>0.79454905242504048</v>
      </c>
      <c r="T23" s="437">
        <v>252.54521814126952</v>
      </c>
      <c r="U23" s="438"/>
    </row>
    <row r="24" spans="1:21" s="408" customFormat="1" ht="11.85" customHeight="1" x14ac:dyDescent="0.25">
      <c r="A24" s="434" t="s">
        <v>325</v>
      </c>
      <c r="B24" s="435">
        <v>744</v>
      </c>
      <c r="C24" s="439">
        <v>2.3247786188439856</v>
      </c>
      <c r="D24" s="437">
        <v>3967.7932905663988</v>
      </c>
      <c r="E24" s="438">
        <v>1469.1558866669909</v>
      </c>
      <c r="F24" s="435">
        <v>744</v>
      </c>
      <c r="G24" s="439">
        <v>1.8101269409480751</v>
      </c>
      <c r="H24" s="437">
        <v>3967.7932905663988</v>
      </c>
      <c r="I24" s="438">
        <v>1469.1558866669909</v>
      </c>
      <c r="J24" s="435">
        <v>744</v>
      </c>
      <c r="K24" s="439">
        <v>2.0615087575532933</v>
      </c>
      <c r="L24" s="437">
        <v>3967.7932905663988</v>
      </c>
      <c r="M24" s="438">
        <v>1469.1558866669909</v>
      </c>
      <c r="N24" s="435">
        <v>744</v>
      </c>
      <c r="O24" s="439">
        <v>2.0615087575532933</v>
      </c>
      <c r="P24" s="437">
        <v>3967.7932905663988</v>
      </c>
      <c r="Q24" s="438">
        <v>1469.1558866669909</v>
      </c>
      <c r="R24" s="435">
        <v>744</v>
      </c>
      <c r="S24" s="439">
        <v>2.0615087575532933</v>
      </c>
      <c r="T24" s="437">
        <v>3967.7932905663988</v>
      </c>
      <c r="U24" s="438">
        <v>1469.1558866669909</v>
      </c>
    </row>
    <row r="25" spans="1:21" s="408" customFormat="1" ht="11.85" customHeight="1" x14ac:dyDescent="0.25">
      <c r="A25" s="434" t="s">
        <v>349</v>
      </c>
      <c r="B25" s="435">
        <v>744</v>
      </c>
      <c r="C25" s="439">
        <v>1.1623893094219928</v>
      </c>
      <c r="D25" s="437">
        <v>1615.5400427669347</v>
      </c>
      <c r="E25" s="438"/>
      <c r="F25" s="435">
        <v>744</v>
      </c>
      <c r="G25" s="439">
        <v>0.90506347047403757</v>
      </c>
      <c r="H25" s="437">
        <v>1615.5400427669347</v>
      </c>
      <c r="I25" s="438"/>
      <c r="J25" s="435">
        <v>744</v>
      </c>
      <c r="K25" s="439">
        <v>1.0307543787766467</v>
      </c>
      <c r="L25" s="437">
        <v>1615.5400427669347</v>
      </c>
      <c r="M25" s="438"/>
      <c r="N25" s="435">
        <v>744</v>
      </c>
      <c r="O25" s="439">
        <v>1.0307543787766467</v>
      </c>
      <c r="P25" s="437">
        <v>1615.5400427669347</v>
      </c>
      <c r="Q25" s="438"/>
      <c r="R25" s="435">
        <v>744</v>
      </c>
      <c r="S25" s="439">
        <v>1.0307543787766467</v>
      </c>
      <c r="T25" s="437">
        <v>1615.5400427669347</v>
      </c>
      <c r="U25" s="438"/>
    </row>
    <row r="26" spans="1:21" s="408" customFormat="1" ht="11.85" customHeight="1" x14ac:dyDescent="0.25">
      <c r="A26" s="434" t="s">
        <v>326</v>
      </c>
      <c r="B26" s="435">
        <v>744</v>
      </c>
      <c r="C26" s="439">
        <v>2.8978227186961858</v>
      </c>
      <c r="D26" s="437">
        <v>4406.5867586263739</v>
      </c>
      <c r="E26" s="438">
        <v>1625.6383271531261</v>
      </c>
      <c r="F26" s="435">
        <v>744</v>
      </c>
      <c r="G26" s="439">
        <v>2.2563124637698579</v>
      </c>
      <c r="H26" s="437">
        <v>4406.5867586263739</v>
      </c>
      <c r="I26" s="438">
        <v>1625.6383271531261</v>
      </c>
      <c r="J26" s="435">
        <v>744</v>
      </c>
      <c r="K26" s="439">
        <v>2.4055008618198639</v>
      </c>
      <c r="L26" s="437">
        <v>4406.5867586263739</v>
      </c>
      <c r="M26" s="438">
        <v>1625.6383271531261</v>
      </c>
      <c r="N26" s="435">
        <v>744</v>
      </c>
      <c r="O26" s="439">
        <v>2.4055008618198639</v>
      </c>
      <c r="P26" s="437">
        <v>4406.5867586263739</v>
      </c>
      <c r="Q26" s="438">
        <v>1625.6383271531261</v>
      </c>
      <c r="R26" s="435">
        <v>744</v>
      </c>
      <c r="S26" s="439">
        <v>2.4055008618198639</v>
      </c>
      <c r="T26" s="437">
        <v>4406.5867586263739</v>
      </c>
      <c r="U26" s="438">
        <v>1625.6383271531261</v>
      </c>
    </row>
    <row r="27" spans="1:21" s="408" customFormat="1" ht="11.85" customHeight="1" x14ac:dyDescent="0.25">
      <c r="A27" s="434" t="s">
        <v>350</v>
      </c>
      <c r="B27" s="435">
        <v>744</v>
      </c>
      <c r="C27" s="439">
        <v>1.4489113593480929</v>
      </c>
      <c r="D27" s="437">
        <v>1655.9132413736259</v>
      </c>
      <c r="E27" s="438"/>
      <c r="F27" s="435">
        <v>744</v>
      </c>
      <c r="G27" s="439">
        <v>1.128156231884929</v>
      </c>
      <c r="H27" s="437">
        <v>1655.9132413736259</v>
      </c>
      <c r="I27" s="438"/>
      <c r="J27" s="435">
        <v>744</v>
      </c>
      <c r="K27" s="439">
        <v>1.2027504309099319</v>
      </c>
      <c r="L27" s="437">
        <v>1655.9132413736259</v>
      </c>
      <c r="M27" s="438"/>
      <c r="N27" s="435">
        <v>744</v>
      </c>
      <c r="O27" s="439">
        <v>1.2027504309099319</v>
      </c>
      <c r="P27" s="437">
        <v>1655.9132413736259</v>
      </c>
      <c r="Q27" s="438"/>
      <c r="R27" s="435">
        <v>744</v>
      </c>
      <c r="S27" s="439">
        <v>1.2027504309099319</v>
      </c>
      <c r="T27" s="437">
        <v>1655.9132413736259</v>
      </c>
      <c r="U27" s="438"/>
    </row>
    <row r="28" spans="1:21" s="408" customFormat="1" ht="11.85" customHeight="1" x14ac:dyDescent="0.25">
      <c r="A28" s="434" t="s">
        <v>327</v>
      </c>
      <c r="B28" s="435">
        <v>672</v>
      </c>
      <c r="C28" s="439">
        <v>1.6228238397002848</v>
      </c>
      <c r="D28" s="437">
        <v>3574.3473635640817</v>
      </c>
      <c r="E28" s="438">
        <v>710.68906476885638</v>
      </c>
      <c r="F28" s="435">
        <v>672</v>
      </c>
      <c r="G28" s="439">
        <v>1.2635685517939723</v>
      </c>
      <c r="H28" s="437">
        <v>3574.3473635640817</v>
      </c>
      <c r="I28" s="438">
        <v>710.68906476885638</v>
      </c>
      <c r="J28" s="435">
        <v>672</v>
      </c>
      <c r="K28" s="439">
        <v>1.6208307275701119</v>
      </c>
      <c r="L28" s="437">
        <v>3574.3473635640817</v>
      </c>
      <c r="M28" s="438">
        <v>710.68906476885638</v>
      </c>
      <c r="N28" s="435">
        <v>672</v>
      </c>
      <c r="O28" s="439">
        <v>1.6208307275701119</v>
      </c>
      <c r="P28" s="437">
        <v>3574.3473635640817</v>
      </c>
      <c r="Q28" s="438">
        <v>710.68906476885638</v>
      </c>
      <c r="R28" s="435">
        <v>672</v>
      </c>
      <c r="S28" s="439">
        <v>1.6208307275701119</v>
      </c>
      <c r="T28" s="437">
        <v>3574.3473635640817</v>
      </c>
      <c r="U28" s="438">
        <v>710.68906476885638</v>
      </c>
    </row>
    <row r="29" spans="1:21" s="408" customFormat="1" ht="11.85" customHeight="1" x14ac:dyDescent="0.25">
      <c r="A29" s="434" t="s">
        <v>351</v>
      </c>
      <c r="B29" s="435">
        <v>672</v>
      </c>
      <c r="C29" s="439">
        <v>0.81141191985014238</v>
      </c>
      <c r="D29" s="437">
        <v>446.48596976925182</v>
      </c>
      <c r="E29" s="438"/>
      <c r="F29" s="435">
        <v>672</v>
      </c>
      <c r="G29" s="439">
        <v>0.63178427589698616</v>
      </c>
      <c r="H29" s="437">
        <v>446.48596976925182</v>
      </c>
      <c r="I29" s="438"/>
      <c r="J29" s="435">
        <v>672</v>
      </c>
      <c r="K29" s="439">
        <v>0.81041536378505596</v>
      </c>
      <c r="L29" s="437">
        <v>446.48596976925182</v>
      </c>
      <c r="M29" s="438"/>
      <c r="N29" s="435">
        <v>672</v>
      </c>
      <c r="O29" s="439">
        <v>0.81041536378505596</v>
      </c>
      <c r="P29" s="437">
        <v>446.48596976925182</v>
      </c>
      <c r="Q29" s="438"/>
      <c r="R29" s="435">
        <v>672</v>
      </c>
      <c r="S29" s="439">
        <v>0.81041536378505596</v>
      </c>
      <c r="T29" s="437">
        <v>446.48596976925182</v>
      </c>
      <c r="U29" s="438"/>
    </row>
    <row r="30" spans="1:21" s="408" customFormat="1" ht="11.85" customHeight="1" x14ac:dyDescent="0.25">
      <c r="A30" s="434" t="s">
        <v>328</v>
      </c>
      <c r="B30" s="435">
        <v>744</v>
      </c>
      <c r="C30" s="439">
        <v>1.4000745602560418</v>
      </c>
      <c r="D30" s="437">
        <v>208.33333333333331</v>
      </c>
      <c r="E30" s="438">
        <v>166.66666666666666</v>
      </c>
      <c r="F30" s="435">
        <v>744</v>
      </c>
      <c r="G30" s="439">
        <v>1.090130759252981</v>
      </c>
      <c r="H30" s="437">
        <v>208.33333333333331</v>
      </c>
      <c r="I30" s="438">
        <v>166.66666666666666</v>
      </c>
      <c r="J30" s="435">
        <v>744</v>
      </c>
      <c r="K30" s="439">
        <v>1.4745795918631555</v>
      </c>
      <c r="L30" s="437">
        <v>208.33333333333331</v>
      </c>
      <c r="M30" s="438">
        <v>166.66666666666666</v>
      </c>
      <c r="N30" s="435">
        <v>744</v>
      </c>
      <c r="O30" s="439">
        <v>1.4745795918631555</v>
      </c>
      <c r="P30" s="437">
        <v>208.33333333333331</v>
      </c>
      <c r="Q30" s="438">
        <v>166.66666666666666</v>
      </c>
      <c r="R30" s="435">
        <v>744</v>
      </c>
      <c r="S30" s="439">
        <v>1.4745795918631555</v>
      </c>
      <c r="T30" s="437">
        <v>208.33333333333331</v>
      </c>
      <c r="U30" s="438">
        <v>166.66666666666666</v>
      </c>
    </row>
    <row r="31" spans="1:21" s="408" customFormat="1" ht="11.85" customHeight="1" x14ac:dyDescent="0.25">
      <c r="A31" s="434" t="s">
        <v>352</v>
      </c>
      <c r="B31" s="435">
        <v>744</v>
      </c>
      <c r="C31" s="439">
        <v>0.70003728012802091</v>
      </c>
      <c r="D31" s="437"/>
      <c r="E31" s="438"/>
      <c r="F31" s="435">
        <v>744</v>
      </c>
      <c r="G31" s="439">
        <v>0.54506537962649049</v>
      </c>
      <c r="H31" s="437"/>
      <c r="I31" s="438"/>
      <c r="J31" s="435">
        <v>744</v>
      </c>
      <c r="K31" s="439">
        <v>0.73728979593157773</v>
      </c>
      <c r="L31" s="437"/>
      <c r="M31" s="438"/>
      <c r="N31" s="435">
        <v>744</v>
      </c>
      <c r="O31" s="439">
        <v>0.73728979593157773</v>
      </c>
      <c r="P31" s="437"/>
      <c r="Q31" s="438"/>
      <c r="R31" s="435">
        <v>744</v>
      </c>
      <c r="S31" s="439">
        <v>0.73728979593157773</v>
      </c>
      <c r="T31" s="437"/>
      <c r="U31" s="438"/>
    </row>
    <row r="32" spans="1:21" s="408" customFormat="1" ht="11.85" customHeight="1" x14ac:dyDescent="0.25">
      <c r="A32" s="434" t="s">
        <v>329</v>
      </c>
      <c r="B32" s="435">
        <v>720</v>
      </c>
      <c r="C32" s="439">
        <v>1.0994315866315754</v>
      </c>
      <c r="D32" s="437">
        <v>375</v>
      </c>
      <c r="E32" s="438">
        <v>333.33333333333331</v>
      </c>
      <c r="F32" s="435">
        <v>720</v>
      </c>
      <c r="G32" s="439">
        <v>0.85604311677672784</v>
      </c>
      <c r="H32" s="437">
        <v>375</v>
      </c>
      <c r="I32" s="438">
        <v>333.33333333333331</v>
      </c>
      <c r="J32" s="435">
        <v>720</v>
      </c>
      <c r="K32" s="439">
        <v>1.2700233455128964</v>
      </c>
      <c r="L32" s="437">
        <v>375</v>
      </c>
      <c r="M32" s="438">
        <v>333.33333333333331</v>
      </c>
      <c r="N32" s="435">
        <v>720</v>
      </c>
      <c r="O32" s="439">
        <v>1.2700233455128964</v>
      </c>
      <c r="P32" s="437">
        <v>375</v>
      </c>
      <c r="Q32" s="438">
        <v>333.33333333333331</v>
      </c>
      <c r="R32" s="435">
        <v>720</v>
      </c>
      <c r="S32" s="439">
        <v>1.2700233455128964</v>
      </c>
      <c r="T32" s="437">
        <v>375</v>
      </c>
      <c r="U32" s="438">
        <v>333.33333333333331</v>
      </c>
    </row>
    <row r="33" spans="1:21" s="408" customFormat="1" ht="11.85" customHeight="1" x14ac:dyDescent="0.25">
      <c r="A33" s="434" t="s">
        <v>353</v>
      </c>
      <c r="B33" s="435">
        <v>720</v>
      </c>
      <c r="C33" s="439">
        <v>0.54971579331578768</v>
      </c>
      <c r="D33" s="437"/>
      <c r="E33" s="438"/>
      <c r="F33" s="435">
        <v>720</v>
      </c>
      <c r="G33" s="439">
        <v>0.42802155838836392</v>
      </c>
      <c r="H33" s="437"/>
      <c r="I33" s="438"/>
      <c r="J33" s="435">
        <v>720</v>
      </c>
      <c r="K33" s="439">
        <v>0.63501167275644821</v>
      </c>
      <c r="L33" s="437"/>
      <c r="M33" s="438"/>
      <c r="N33" s="435">
        <v>720</v>
      </c>
      <c r="O33" s="439">
        <v>0.63501167275644821</v>
      </c>
      <c r="P33" s="437"/>
      <c r="Q33" s="438"/>
      <c r="R33" s="435">
        <v>720</v>
      </c>
      <c r="S33" s="439">
        <v>0.63501167275644821</v>
      </c>
      <c r="T33" s="437"/>
      <c r="U33" s="438"/>
    </row>
    <row r="34" spans="1:21" s="408" customFormat="1" ht="11.85" customHeight="1" x14ac:dyDescent="0.25">
      <c r="A34" s="434" t="s">
        <v>330</v>
      </c>
      <c r="B34" s="435">
        <v>744</v>
      </c>
      <c r="C34" s="439">
        <v>1.2676877316123207</v>
      </c>
      <c r="D34" s="437">
        <v>375</v>
      </c>
      <c r="E34" s="438">
        <v>333.33333333333331</v>
      </c>
      <c r="F34" s="435">
        <v>744</v>
      </c>
      <c r="G34" s="439">
        <v>0.98705128182994917</v>
      </c>
      <c r="H34" s="437">
        <v>375</v>
      </c>
      <c r="I34" s="438">
        <v>333.33333333333331</v>
      </c>
      <c r="J34" s="435">
        <v>744</v>
      </c>
      <c r="K34" s="439">
        <v>1.3856564109525178</v>
      </c>
      <c r="L34" s="437">
        <v>375</v>
      </c>
      <c r="M34" s="438">
        <v>333.33333333333331</v>
      </c>
      <c r="N34" s="435">
        <v>744</v>
      </c>
      <c r="O34" s="439">
        <v>1.3856564109525178</v>
      </c>
      <c r="P34" s="437">
        <v>375</v>
      </c>
      <c r="Q34" s="438">
        <v>333.33333333333331</v>
      </c>
      <c r="R34" s="435">
        <v>744</v>
      </c>
      <c r="S34" s="439">
        <v>1.3856564109525178</v>
      </c>
      <c r="T34" s="437">
        <v>375</v>
      </c>
      <c r="U34" s="438">
        <v>333.33333333333331</v>
      </c>
    </row>
    <row r="35" spans="1:21" s="408" customFormat="1" ht="11.85" customHeight="1" x14ac:dyDescent="0.25">
      <c r="A35" s="434" t="s">
        <v>354</v>
      </c>
      <c r="B35" s="435">
        <v>744</v>
      </c>
      <c r="C35" s="439">
        <v>0.63384386580616037</v>
      </c>
      <c r="D35" s="437"/>
      <c r="E35" s="438"/>
      <c r="F35" s="435">
        <v>744</v>
      </c>
      <c r="G35" s="439">
        <v>0.49352564091497458</v>
      </c>
      <c r="H35" s="437"/>
      <c r="I35" s="438"/>
      <c r="J35" s="435">
        <v>744</v>
      </c>
      <c r="K35" s="439">
        <v>0.6928282054762589</v>
      </c>
      <c r="L35" s="437"/>
      <c r="M35" s="438"/>
      <c r="N35" s="435">
        <v>744</v>
      </c>
      <c r="O35" s="439">
        <v>0.6928282054762589</v>
      </c>
      <c r="P35" s="437"/>
      <c r="Q35" s="438"/>
      <c r="R35" s="435">
        <v>744</v>
      </c>
      <c r="S35" s="439">
        <v>0.6928282054762589</v>
      </c>
      <c r="T35" s="437"/>
      <c r="U35" s="438"/>
    </row>
    <row r="36" spans="1:21" s="408" customFormat="1" ht="11.85" customHeight="1" x14ac:dyDescent="0.25">
      <c r="A36" s="434" t="s">
        <v>331</v>
      </c>
      <c r="B36" s="435">
        <v>720</v>
      </c>
      <c r="C36" s="439">
        <v>0.80385282942761183</v>
      </c>
      <c r="D36" s="437">
        <v>375</v>
      </c>
      <c r="E36" s="438">
        <v>333.33333333333331</v>
      </c>
      <c r="F36" s="435">
        <v>720</v>
      </c>
      <c r="G36" s="439">
        <v>0.62589859150881466</v>
      </c>
      <c r="H36" s="437">
        <v>375</v>
      </c>
      <c r="I36" s="438">
        <v>333.33333333333331</v>
      </c>
      <c r="J36" s="435">
        <v>720</v>
      </c>
      <c r="K36" s="439">
        <v>1.057597793423894</v>
      </c>
      <c r="L36" s="437">
        <v>375</v>
      </c>
      <c r="M36" s="438">
        <v>333.33333333333331</v>
      </c>
      <c r="N36" s="435">
        <v>720</v>
      </c>
      <c r="O36" s="439">
        <v>1.057597793423894</v>
      </c>
      <c r="P36" s="437">
        <v>375</v>
      </c>
      <c r="Q36" s="438">
        <v>333.33333333333331</v>
      </c>
      <c r="R36" s="435">
        <v>720</v>
      </c>
      <c r="S36" s="439">
        <v>1.057597793423894</v>
      </c>
      <c r="T36" s="437">
        <v>375</v>
      </c>
      <c r="U36" s="438">
        <v>333.33333333333331</v>
      </c>
    </row>
    <row r="37" spans="1:21" s="408" customFormat="1" ht="11.85" customHeight="1" x14ac:dyDescent="0.25">
      <c r="A37" s="434" t="s">
        <v>355</v>
      </c>
      <c r="B37" s="435">
        <v>720</v>
      </c>
      <c r="C37" s="439">
        <v>0.40192641471380591</v>
      </c>
      <c r="D37" s="437"/>
      <c r="E37" s="438"/>
      <c r="F37" s="435">
        <v>720</v>
      </c>
      <c r="G37" s="439">
        <v>0.31294929575440733</v>
      </c>
      <c r="H37" s="437"/>
      <c r="I37" s="438"/>
      <c r="J37" s="435">
        <v>720</v>
      </c>
      <c r="K37" s="439">
        <v>0.52879889671194702</v>
      </c>
      <c r="L37" s="437"/>
      <c r="M37" s="438"/>
      <c r="N37" s="435">
        <v>720</v>
      </c>
      <c r="O37" s="439">
        <v>0.52879889671194702</v>
      </c>
      <c r="P37" s="437"/>
      <c r="Q37" s="438"/>
      <c r="R37" s="435">
        <v>720</v>
      </c>
      <c r="S37" s="439">
        <v>0.52879889671194702</v>
      </c>
      <c r="T37" s="437"/>
      <c r="U37" s="438"/>
    </row>
    <row r="38" spans="1:21" s="408" customFormat="1" ht="11.85" customHeight="1" x14ac:dyDescent="0.25">
      <c r="A38" s="434" t="s">
        <v>332</v>
      </c>
      <c r="B38" s="435">
        <v>744</v>
      </c>
      <c r="C38" s="439">
        <v>1.3134793042560544</v>
      </c>
      <c r="D38" s="437">
        <v>145.83333333333334</v>
      </c>
      <c r="E38" s="438">
        <v>104.16666666666667</v>
      </c>
      <c r="F38" s="435">
        <v>744</v>
      </c>
      <c r="G38" s="439">
        <v>2.3920339159115356</v>
      </c>
      <c r="H38" s="437">
        <v>145.83333333333334</v>
      </c>
      <c r="I38" s="438">
        <v>104.16666666666667</v>
      </c>
      <c r="J38" s="435">
        <v>744</v>
      </c>
      <c r="K38" s="439">
        <v>1.2922988118379253</v>
      </c>
      <c r="L38" s="437">
        <v>145.83333333333334</v>
      </c>
      <c r="M38" s="438">
        <v>104.16666666666667</v>
      </c>
      <c r="N38" s="435">
        <v>744</v>
      </c>
      <c r="O38" s="439">
        <v>1.2922988118379253</v>
      </c>
      <c r="P38" s="437">
        <v>145.83333333333334</v>
      </c>
      <c r="Q38" s="438">
        <v>104.16666666666667</v>
      </c>
      <c r="R38" s="435">
        <v>744</v>
      </c>
      <c r="S38" s="439">
        <v>1.2922988118379253</v>
      </c>
      <c r="T38" s="437">
        <v>145.83333333333334</v>
      </c>
      <c r="U38" s="438">
        <v>104.16666666666667</v>
      </c>
    </row>
    <row r="39" spans="1:21" s="408" customFormat="1" ht="11.85" customHeight="1" x14ac:dyDescent="0.25">
      <c r="A39" s="434" t="s">
        <v>356</v>
      </c>
      <c r="B39" s="435">
        <v>744</v>
      </c>
      <c r="C39" s="439">
        <v>0.65673965212802721</v>
      </c>
      <c r="D39" s="437"/>
      <c r="E39" s="438"/>
      <c r="F39" s="435">
        <v>744</v>
      </c>
      <c r="G39" s="439">
        <v>1.1960169579557678</v>
      </c>
      <c r="H39" s="437"/>
      <c r="I39" s="438"/>
      <c r="J39" s="435">
        <v>744</v>
      </c>
      <c r="K39" s="439">
        <v>0.64614940591896264</v>
      </c>
      <c r="L39" s="437"/>
      <c r="M39" s="438"/>
      <c r="N39" s="435">
        <v>744</v>
      </c>
      <c r="O39" s="439">
        <v>0.64614940591896264</v>
      </c>
      <c r="P39" s="437"/>
      <c r="Q39" s="438"/>
      <c r="R39" s="435">
        <v>744</v>
      </c>
      <c r="S39" s="439">
        <v>0.64614940591896264</v>
      </c>
      <c r="T39" s="437"/>
      <c r="U39" s="438"/>
    </row>
    <row r="40" spans="1:21" s="408" customFormat="1" ht="11.85" customHeight="1" x14ac:dyDescent="0.25">
      <c r="A40" s="434" t="s">
        <v>333</v>
      </c>
      <c r="B40" s="435">
        <v>744</v>
      </c>
      <c r="C40" s="439">
        <v>1.2357670034409327</v>
      </c>
      <c r="D40" s="437">
        <v>41.666666666666664</v>
      </c>
      <c r="E40" s="438"/>
      <c r="F40" s="435">
        <v>744</v>
      </c>
      <c r="G40" s="439">
        <v>2.2990064307411058</v>
      </c>
      <c r="H40" s="437">
        <v>41.666666666666664</v>
      </c>
      <c r="I40" s="438"/>
      <c r="J40" s="435">
        <v>744</v>
      </c>
      <c r="K40" s="439">
        <v>1.2420406161851245</v>
      </c>
      <c r="L40" s="437">
        <v>41.666666666666664</v>
      </c>
      <c r="M40" s="438"/>
      <c r="N40" s="435">
        <v>744</v>
      </c>
      <c r="O40" s="439">
        <v>1.2420406161851245</v>
      </c>
      <c r="P40" s="437">
        <v>41.666666666666664</v>
      </c>
      <c r="Q40" s="438"/>
      <c r="R40" s="435">
        <v>744</v>
      </c>
      <c r="S40" s="439">
        <v>1.2420406161851245</v>
      </c>
      <c r="T40" s="437">
        <v>41.666666666666664</v>
      </c>
      <c r="U40" s="438"/>
    </row>
    <row r="41" spans="1:21" s="408" customFormat="1" ht="11.85" customHeight="1" x14ac:dyDescent="0.25">
      <c r="A41" s="434" t="s">
        <v>357</v>
      </c>
      <c r="B41" s="435">
        <v>744</v>
      </c>
      <c r="C41" s="439">
        <v>0.61788350172046635</v>
      </c>
      <c r="D41" s="437"/>
      <c r="E41" s="438"/>
      <c r="F41" s="435">
        <v>744</v>
      </c>
      <c r="G41" s="439">
        <v>1.1495032153705529</v>
      </c>
      <c r="H41" s="437"/>
      <c r="I41" s="438"/>
      <c r="J41" s="435">
        <v>744</v>
      </c>
      <c r="K41" s="439">
        <v>0.62102030809256226</v>
      </c>
      <c r="L41" s="437"/>
      <c r="M41" s="438"/>
      <c r="N41" s="435">
        <v>744</v>
      </c>
      <c r="O41" s="439">
        <v>0.62102030809256226</v>
      </c>
      <c r="P41" s="437"/>
      <c r="Q41" s="438"/>
      <c r="R41" s="435">
        <v>744</v>
      </c>
      <c r="S41" s="439">
        <v>0.62102030809256226</v>
      </c>
      <c r="T41" s="437"/>
      <c r="U41" s="438"/>
    </row>
    <row r="42" spans="1:21" s="408" customFormat="1" ht="11.85" customHeight="1" x14ac:dyDescent="0.25">
      <c r="A42" s="434" t="s">
        <v>334</v>
      </c>
      <c r="B42" s="435">
        <v>720</v>
      </c>
      <c r="C42" s="439">
        <v>1.102670708527316</v>
      </c>
      <c r="D42" s="437">
        <v>41.666666666666664</v>
      </c>
      <c r="E42" s="438"/>
      <c r="F42" s="435">
        <v>720</v>
      </c>
      <c r="G42" s="439">
        <v>2.1372070617798453</v>
      </c>
      <c r="H42" s="437">
        <v>41.666666666666664</v>
      </c>
      <c r="I42" s="438"/>
      <c r="J42" s="435">
        <v>720</v>
      </c>
      <c r="K42" s="439">
        <v>1.1546283387613396</v>
      </c>
      <c r="L42" s="437">
        <v>41.666666666666664</v>
      </c>
      <c r="M42" s="438"/>
      <c r="N42" s="435">
        <v>720</v>
      </c>
      <c r="O42" s="439">
        <v>1.1546283387613396</v>
      </c>
      <c r="P42" s="437">
        <v>41.666666666666664</v>
      </c>
      <c r="Q42" s="438"/>
      <c r="R42" s="435">
        <v>720</v>
      </c>
      <c r="S42" s="439">
        <v>1.1546283387613396</v>
      </c>
      <c r="T42" s="437">
        <v>41.666666666666664</v>
      </c>
      <c r="U42" s="438"/>
    </row>
    <row r="43" spans="1:21" s="408" customFormat="1" ht="11.85" customHeight="1" x14ac:dyDescent="0.25">
      <c r="A43" s="434" t="s">
        <v>358</v>
      </c>
      <c r="B43" s="435">
        <v>720</v>
      </c>
      <c r="C43" s="439">
        <v>0.55133535426365798</v>
      </c>
      <c r="D43" s="437"/>
      <c r="E43" s="438"/>
      <c r="F43" s="435">
        <v>720</v>
      </c>
      <c r="G43" s="439">
        <v>1.0686035308899227</v>
      </c>
      <c r="H43" s="437"/>
      <c r="I43" s="438"/>
      <c r="J43" s="435">
        <v>720</v>
      </c>
      <c r="K43" s="439">
        <v>0.57731416938066982</v>
      </c>
      <c r="L43" s="437"/>
      <c r="M43" s="438"/>
      <c r="N43" s="435">
        <v>720</v>
      </c>
      <c r="O43" s="439">
        <v>0.57731416938066982</v>
      </c>
      <c r="P43" s="437"/>
      <c r="Q43" s="438"/>
      <c r="R43" s="435">
        <v>720</v>
      </c>
      <c r="S43" s="439">
        <v>0.57731416938066982</v>
      </c>
      <c r="T43" s="437"/>
      <c r="U43" s="438"/>
    </row>
    <row r="44" spans="1:21" s="408" customFormat="1" ht="12" customHeight="1" thickBot="1" x14ac:dyDescent="0.3">
      <c r="A44" s="440" t="s">
        <v>0</v>
      </c>
      <c r="B44" s="441"/>
      <c r="C44" s="442"/>
      <c r="D44" s="443"/>
      <c r="E44" s="444"/>
      <c r="F44" s="441"/>
      <c r="G44" s="442"/>
      <c r="H44" s="443"/>
      <c r="I44" s="444"/>
      <c r="J44" s="441"/>
      <c r="K44" s="442"/>
      <c r="L44" s="443"/>
      <c r="M44" s="444"/>
      <c r="N44" s="441"/>
      <c r="O44" s="442"/>
      <c r="P44" s="443"/>
      <c r="Q44" s="444"/>
      <c r="R44" s="441"/>
      <c r="S44" s="442"/>
      <c r="T44" s="443"/>
      <c r="U44" s="444"/>
    </row>
    <row r="45" spans="1:21" s="408" customFormat="1" ht="12" customHeight="1" thickTop="1" thickBot="1" x14ac:dyDescent="0.4">
      <c r="A45" s="407"/>
      <c r="B45" s="461" t="s">
        <v>335</v>
      </c>
      <c r="C45" s="462"/>
      <c r="D45" s="462"/>
      <c r="E45" s="463"/>
      <c r="F45" s="461" t="s">
        <v>336</v>
      </c>
      <c r="G45" s="462"/>
      <c r="H45" s="462"/>
      <c r="I45" s="463"/>
      <c r="J45" s="461" t="s">
        <v>337</v>
      </c>
      <c r="K45" s="462"/>
      <c r="L45" s="462"/>
      <c r="M45" s="463"/>
      <c r="N45" s="461" t="s">
        <v>338</v>
      </c>
      <c r="O45" s="462"/>
      <c r="P45" s="462"/>
      <c r="Q45" s="463"/>
      <c r="R45" s="461" t="s">
        <v>339</v>
      </c>
      <c r="S45" s="462"/>
      <c r="T45" s="462"/>
      <c r="U45" s="463"/>
    </row>
    <row r="46" spans="1:21" s="408" customFormat="1" ht="23.45" thickTop="1" x14ac:dyDescent="0.25">
      <c r="A46" s="445" t="s">
        <v>341</v>
      </c>
      <c r="B46" s="446" t="s">
        <v>359</v>
      </c>
      <c r="C46" s="447"/>
      <c r="D46" s="448" t="s">
        <v>310</v>
      </c>
      <c r="E46" s="449" t="s">
        <v>311</v>
      </c>
      <c r="F46" s="446" t="s">
        <v>359</v>
      </c>
      <c r="G46" s="447"/>
      <c r="H46" s="448" t="s">
        <v>310</v>
      </c>
      <c r="I46" s="449" t="s">
        <v>311</v>
      </c>
      <c r="J46" s="446" t="s">
        <v>359</v>
      </c>
      <c r="K46" s="447"/>
      <c r="L46" s="448" t="s">
        <v>310</v>
      </c>
      <c r="M46" s="449" t="s">
        <v>311</v>
      </c>
      <c r="N46" s="446" t="s">
        <v>359</v>
      </c>
      <c r="O46" s="447"/>
      <c r="P46" s="448" t="s">
        <v>310</v>
      </c>
      <c r="Q46" s="449" t="s">
        <v>311</v>
      </c>
      <c r="R46" s="446" t="s">
        <v>359</v>
      </c>
      <c r="S46" s="447"/>
      <c r="T46" s="448" t="s">
        <v>310</v>
      </c>
      <c r="U46" s="449" t="s">
        <v>311</v>
      </c>
    </row>
    <row r="47" spans="1:21" s="408" customFormat="1" ht="11.85" customHeight="1" x14ac:dyDescent="0.25">
      <c r="A47" s="450" t="s">
        <v>360</v>
      </c>
      <c r="B47" s="451">
        <v>1</v>
      </c>
      <c r="C47" s="452"/>
      <c r="D47" s="453">
        <f>+D4/(SUMPRODUCT(D9:D11,C9:C11,B$9:B$11)+SUMPRODUCT(D12:D43,C$12:C$43,B$12:B$43))*1000</f>
        <v>2.3148586137822957</v>
      </c>
      <c r="E47" s="454">
        <f>+E4/(SUMPRODUCT(E9:E11,C9:C11,B$9:B$11)+SUMPRODUCT(E12:E43,C$12:C$43,B$12:B$43))*1000</f>
        <v>1.6490565146977234</v>
      </c>
      <c r="F47" s="451">
        <v>1</v>
      </c>
      <c r="G47" s="452"/>
      <c r="H47" s="453">
        <f>+H4/(SUMPRODUCT(H9:H11,G9:G11,F$9:F$11)+SUMPRODUCT(H12:H43,G$12:G$43,F$12:F$43))*1000</f>
        <v>2.5866684558135722</v>
      </c>
      <c r="I47" s="454">
        <f>+I4/(SUMPRODUCT(I9:I11,G9:G11,F$9:F$11)+SUMPRODUCT(I12:I43,G$12:G$43,F$12:F$43))*1000</f>
        <v>1.8306003888651479</v>
      </c>
      <c r="J47" s="451">
        <v>1</v>
      </c>
      <c r="K47" s="452"/>
      <c r="L47" s="453">
        <f>+L4/(SUMPRODUCT(L9:L11,K9:K11,J$9:J$11)+SUMPRODUCT(L12:L43,K$12:K$43,J$12:J$43))*1000</f>
        <v>2.4614526051884504</v>
      </c>
      <c r="M47" s="454">
        <f>+M4/(SUMPRODUCT(M9:M11,K9:K11,J$9:J$11)+SUMPRODUCT(M12:M43,K$12:K$43,J$12:J$43))*1000</f>
        <v>2.4260030122866465</v>
      </c>
      <c r="N47" s="451">
        <v>1</v>
      </c>
      <c r="O47" s="452"/>
      <c r="P47" s="453">
        <f>+P4/(SUMPRODUCT(P9:P11,O9:O11,N$9:N$11)+SUMPRODUCT(P12:P43,O$12:O$43,N$12:N$43))*1000</f>
        <v>2.953869436660109</v>
      </c>
      <c r="Q47" s="454">
        <f>+Q4/(SUMPRODUCT(Q9:Q11,O9:O11,N$9:N$11)+SUMPRODUCT(Q12:Q43,O$12:O$43,N$12:N$43))*1000</f>
        <v>2.9113281060677756</v>
      </c>
      <c r="R47" s="451">
        <v>1</v>
      </c>
      <c r="S47" s="452"/>
      <c r="T47" s="453">
        <f>+T4/(SUMPRODUCT(T9:T11,S9:S11,R$9:R$11)+SUMPRODUCT(T12:T43,S$12:S$43,R$12:R$43))*1000</f>
        <v>2.7498466766440877</v>
      </c>
      <c r="U47" s="454">
        <f>+U4/(SUMPRODUCT(U9:U11,S9:S11,R$9:R$11)+SUMPRODUCT(U12:U43,S$12:S$43,R$12:R$43))*1000</f>
        <v>2.7071885898224686</v>
      </c>
    </row>
    <row r="48" spans="1:21" s="408" customFormat="1" ht="11.85" customHeight="1" x14ac:dyDescent="0.25">
      <c r="A48" s="450" t="s">
        <v>361</v>
      </c>
      <c r="B48" s="451">
        <v>0.5</v>
      </c>
      <c r="C48" s="452"/>
      <c r="D48" s="453">
        <f>D$47*B48</f>
        <v>1.1574293068911479</v>
      </c>
      <c r="E48" s="455">
        <f>E$47*B48</f>
        <v>0.8245282573488617</v>
      </c>
      <c r="F48" s="451">
        <v>0.5</v>
      </c>
      <c r="G48" s="452"/>
      <c r="H48" s="453">
        <f>H$47*F48</f>
        <v>1.2933342279067861</v>
      </c>
      <c r="I48" s="455">
        <f>I$47*F48</f>
        <v>0.91530019443257393</v>
      </c>
      <c r="J48" s="451">
        <v>0.5</v>
      </c>
      <c r="K48" s="452"/>
      <c r="L48" s="453">
        <f>L$47*J48</f>
        <v>1.2307263025942252</v>
      </c>
      <c r="M48" s="455">
        <f>M$47*J48</f>
        <v>1.2130015061433232</v>
      </c>
      <c r="N48" s="451">
        <v>0.5</v>
      </c>
      <c r="O48" s="452"/>
      <c r="P48" s="453">
        <f>P$47*N48</f>
        <v>1.4769347183300545</v>
      </c>
      <c r="Q48" s="455">
        <f>Q$47*N48</f>
        <v>1.4556640530338878</v>
      </c>
      <c r="R48" s="451">
        <v>0.5</v>
      </c>
      <c r="S48" s="452"/>
      <c r="T48" s="453">
        <f>T$47*R48</f>
        <v>1.3749233383220438</v>
      </c>
      <c r="U48" s="455">
        <f>U$47*R48</f>
        <v>1.3535942949112343</v>
      </c>
    </row>
    <row r="49" spans="1:4" s="408" customFormat="1" ht="11.85" customHeight="1" x14ac:dyDescent="0.25">
      <c r="A49" s="407"/>
      <c r="B49" s="456"/>
      <c r="C49" s="456"/>
      <c r="D49" s="457"/>
    </row>
    <row r="50" spans="1:4" s="408" customFormat="1" ht="11.85" customHeight="1" x14ac:dyDescent="0.25">
      <c r="A50" s="458"/>
      <c r="B50" s="456" t="s">
        <v>342</v>
      </c>
      <c r="C50" s="456"/>
      <c r="D50" s="457"/>
    </row>
    <row r="51" spans="1:4" s="408" customFormat="1" ht="11.85" customHeight="1" x14ac:dyDescent="0.25">
      <c r="A51" s="407"/>
      <c r="B51" s="456"/>
      <c r="C51" s="456"/>
      <c r="D51" s="457"/>
    </row>
  </sheetData>
  <sheetProtection selectLockedCells="1"/>
  <mergeCells count="20">
    <mergeCell ref="B3:E3"/>
    <mergeCell ref="F3:I3"/>
    <mergeCell ref="J3:M3"/>
    <mergeCell ref="N3:Q3"/>
    <mergeCell ref="R3:U3"/>
    <mergeCell ref="B2:E2"/>
    <mergeCell ref="F2:I2"/>
    <mergeCell ref="J2:M2"/>
    <mergeCell ref="N2:Q2"/>
    <mergeCell ref="R2:U2"/>
    <mergeCell ref="B45:E45"/>
    <mergeCell ref="F45:I45"/>
    <mergeCell ref="J45:M45"/>
    <mergeCell ref="N45:Q45"/>
    <mergeCell ref="R45:U45"/>
    <mergeCell ref="D8:E8"/>
    <mergeCell ref="H8:I8"/>
    <mergeCell ref="L8:M8"/>
    <mergeCell ref="P8:Q8"/>
    <mergeCell ref="T8:U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O256"/>
  <sheetViews>
    <sheetView showGridLines="0" view="pageBreakPreview" topLeftCell="A4" zoomScale="110" zoomScaleNormal="100" zoomScaleSheetLayoutView="110" workbookViewId="0">
      <selection activeCell="F17" sqref="F17"/>
    </sheetView>
  </sheetViews>
  <sheetFormatPr defaultColWidth="9.140625" defaultRowHeight="16.5" x14ac:dyDescent="0.25"/>
  <cols>
    <col min="1" max="1" width="52.7109375" style="4" customWidth="1"/>
    <col min="2" max="2" width="15.85546875" style="4" customWidth="1"/>
    <col min="3" max="3" width="13.7109375" style="4" customWidth="1"/>
    <col min="4" max="5" width="14" style="4" customWidth="1"/>
    <col min="6" max="6" width="15.140625" style="4" customWidth="1"/>
    <col min="7" max="7" width="12.85546875" style="4" customWidth="1"/>
    <col min="8" max="8" width="11.85546875" style="4" customWidth="1"/>
    <col min="9" max="9" width="10.85546875" style="4" customWidth="1"/>
    <col min="10" max="10" width="38.42578125" style="4" hidden="1" customWidth="1"/>
    <col min="11" max="11" width="11.85546875" style="4" hidden="1" customWidth="1"/>
    <col min="12" max="16384" width="9.140625" style="4"/>
  </cols>
  <sheetData>
    <row r="1" spans="1:15" ht="17.25" x14ac:dyDescent="0.25">
      <c r="A1" s="1" t="s">
        <v>1</v>
      </c>
      <c r="B1" s="1"/>
      <c r="C1" s="1"/>
      <c r="D1" s="2"/>
      <c r="E1" s="2"/>
      <c r="F1" s="2"/>
      <c r="G1" s="201">
        <f>G5-G6</f>
        <v>17401.784717876701</v>
      </c>
      <c r="H1" s="2"/>
      <c r="I1" s="3" t="s">
        <v>116</v>
      </c>
      <c r="N1" s="4">
        <v>24</v>
      </c>
      <c r="O1" s="4">
        <v>10.65</v>
      </c>
    </row>
    <row r="2" spans="1:15" s="2" customFormat="1" ht="29.25" customHeight="1" thickBot="1" x14ac:dyDescent="0.3">
      <c r="A2" s="479" t="s">
        <v>246</v>
      </c>
      <c r="B2" s="479"/>
      <c r="C2" s="479"/>
      <c r="D2" s="479"/>
      <c r="E2" s="479"/>
      <c r="F2" s="479"/>
      <c r="G2" s="479"/>
      <c r="H2" s="479"/>
      <c r="I2" s="479"/>
      <c r="J2" s="2" t="s">
        <v>117</v>
      </c>
    </row>
    <row r="3" spans="1:15" s="5" customFormat="1" ht="99" x14ac:dyDescent="0.25">
      <c r="A3" s="73" t="s">
        <v>118</v>
      </c>
      <c r="B3" s="480" t="s">
        <v>119</v>
      </c>
      <c r="C3" s="481"/>
      <c r="D3" s="481"/>
      <c r="E3" s="482"/>
      <c r="F3" s="483" t="s">
        <v>120</v>
      </c>
      <c r="G3" s="481"/>
      <c r="H3" s="481"/>
      <c r="I3" s="482"/>
      <c r="J3" s="5" t="s">
        <v>121</v>
      </c>
    </row>
    <row r="4" spans="1:15" ht="17.25" thickBot="1" x14ac:dyDescent="0.3">
      <c r="A4" s="74"/>
      <c r="B4" s="75" t="s">
        <v>2</v>
      </c>
      <c r="C4" s="76" t="s">
        <v>3</v>
      </c>
      <c r="D4" s="76" t="s">
        <v>4</v>
      </c>
      <c r="E4" s="77" t="s">
        <v>5</v>
      </c>
      <c r="F4" s="78" t="s">
        <v>2</v>
      </c>
      <c r="G4" s="76" t="s">
        <v>3</v>
      </c>
      <c r="H4" s="76" t="s">
        <v>4</v>
      </c>
      <c r="I4" s="77" t="s">
        <v>5</v>
      </c>
      <c r="K4" s="6"/>
    </row>
    <row r="5" spans="1:15" ht="17.25" thickBot="1" x14ac:dyDescent="0.3">
      <c r="A5" s="79" t="s">
        <v>122</v>
      </c>
      <c r="B5" s="80">
        <f>SUM(B6:B10)</f>
        <v>356856.57578800002</v>
      </c>
      <c r="C5" s="81">
        <f t="shared" ref="C5:C15" si="0">B5/24</f>
        <v>14869.023991166667</v>
      </c>
      <c r="D5" s="81">
        <f>B5/10.65</f>
        <v>33507.659698403753</v>
      </c>
      <c r="E5" s="82">
        <f>C5/10.65</f>
        <v>1396.1524874334898</v>
      </c>
      <c r="F5" s="83">
        <f>SUM(F6:F11)</f>
        <v>440108.48574520071</v>
      </c>
      <c r="G5" s="84">
        <f t="shared" ref="G5:G18" si="1">F5/$N$1</f>
        <v>18337.853572716696</v>
      </c>
      <c r="H5" s="84">
        <f>F5/10.65</f>
        <v>41324.740445558753</v>
      </c>
      <c r="I5" s="85">
        <f>G5/10.65</f>
        <v>1721.8641852316146</v>
      </c>
      <c r="K5" s="4">
        <v>376948.48574520025</v>
      </c>
    </row>
    <row r="6" spans="1:15" x14ac:dyDescent="0.25">
      <c r="A6" s="86" t="s">
        <v>123</v>
      </c>
      <c r="B6" s="87">
        <v>21268.200120000001</v>
      </c>
      <c r="C6" s="88">
        <f t="shared" si="0"/>
        <v>886.17500500000006</v>
      </c>
      <c r="D6" s="88">
        <f t="shared" ref="D6:E10" si="2">B6/10.65</f>
        <v>1997.014095774648</v>
      </c>
      <c r="E6" s="89">
        <f t="shared" si="2"/>
        <v>83.208920657276991</v>
      </c>
      <c r="F6" s="90">
        <v>22465.652516159895</v>
      </c>
      <c r="G6" s="91">
        <f t="shared" si="1"/>
        <v>936.06885483999565</v>
      </c>
      <c r="H6" s="91">
        <f t="shared" ref="H6:I11" si="3">F6/10.65</f>
        <v>2109.4509404844971</v>
      </c>
      <c r="I6" s="92">
        <f t="shared" si="3"/>
        <v>87.89378918685405</v>
      </c>
      <c r="K6" s="93">
        <f>B6/$B$5</f>
        <v>5.9598733953651263E-2</v>
      </c>
    </row>
    <row r="7" spans="1:15" x14ac:dyDescent="0.25">
      <c r="A7" s="94" t="s">
        <v>124</v>
      </c>
      <c r="B7" s="7">
        <v>20223.833793999998</v>
      </c>
      <c r="C7" s="8">
        <f t="shared" si="0"/>
        <v>842.65974141666663</v>
      </c>
      <c r="D7" s="8">
        <f t="shared" si="2"/>
        <v>1898.9515299530515</v>
      </c>
      <c r="E7" s="9">
        <f t="shared" si="2"/>
        <v>79.122980414710483</v>
      </c>
      <c r="F7" s="90">
        <v>21101.821776750101</v>
      </c>
      <c r="G7" s="95">
        <f t="shared" si="1"/>
        <v>879.24257403125421</v>
      </c>
      <c r="H7" s="95">
        <f t="shared" si="3"/>
        <v>1981.39171612677</v>
      </c>
      <c r="I7" s="96">
        <f t="shared" si="3"/>
        <v>82.55798817194875</v>
      </c>
      <c r="J7" s="4" t="s">
        <v>125</v>
      </c>
      <c r="K7" s="93">
        <f>B7/$B$5</f>
        <v>5.6672162336766065E-2</v>
      </c>
    </row>
    <row r="8" spans="1:15" x14ac:dyDescent="0.25">
      <c r="A8" s="94" t="s">
        <v>126</v>
      </c>
      <c r="B8" s="7">
        <v>240.25327100000001</v>
      </c>
      <c r="C8" s="8">
        <f t="shared" si="0"/>
        <v>10.010552958333333</v>
      </c>
      <c r="D8" s="8">
        <f t="shared" si="2"/>
        <v>22.558992582159625</v>
      </c>
      <c r="E8" s="9">
        <f t="shared" si="2"/>
        <v>0.93995802425665098</v>
      </c>
      <c r="F8" s="90">
        <v>514.44412580769301</v>
      </c>
      <c r="G8" s="95">
        <f t="shared" si="1"/>
        <v>21.435171908653874</v>
      </c>
      <c r="H8" s="95">
        <f t="shared" si="3"/>
        <v>48.304612751896059</v>
      </c>
      <c r="I8" s="96">
        <f t="shared" si="3"/>
        <v>2.0126921979956687</v>
      </c>
      <c r="J8" s="4" t="s">
        <v>127</v>
      </c>
      <c r="K8" s="93">
        <f>B8/$B$5</f>
        <v>6.7324882684165178E-4</v>
      </c>
    </row>
    <row r="9" spans="1:15" x14ac:dyDescent="0.25">
      <c r="A9" s="396" t="s">
        <v>245</v>
      </c>
      <c r="B9" s="10">
        <v>0</v>
      </c>
      <c r="C9" s="11">
        <f t="shared" si="0"/>
        <v>0</v>
      </c>
      <c r="D9" s="11">
        <f t="shared" si="2"/>
        <v>0</v>
      </c>
      <c r="E9" s="97">
        <f t="shared" si="2"/>
        <v>0</v>
      </c>
      <c r="F9" s="90">
        <f>9760*24/4</f>
        <v>58560</v>
      </c>
      <c r="G9" s="98">
        <f t="shared" si="1"/>
        <v>2440</v>
      </c>
      <c r="H9" s="98">
        <f t="shared" si="3"/>
        <v>5498.5915492957747</v>
      </c>
      <c r="I9" s="99">
        <f t="shared" si="3"/>
        <v>229.10798122065728</v>
      </c>
      <c r="K9" s="93">
        <f>B9/$B$5</f>
        <v>0</v>
      </c>
    </row>
    <row r="10" spans="1:15" x14ac:dyDescent="0.25">
      <c r="A10" s="100" t="s">
        <v>129</v>
      </c>
      <c r="B10" s="10">
        <v>315124.28860299999</v>
      </c>
      <c r="C10" s="11">
        <f t="shared" si="0"/>
        <v>13130.178691791667</v>
      </c>
      <c r="D10" s="11">
        <f t="shared" si="2"/>
        <v>29589.135080093896</v>
      </c>
      <c r="E10" s="97">
        <f t="shared" si="2"/>
        <v>1232.8806283372458</v>
      </c>
      <c r="F10" s="90">
        <f>332866.567326483-16600</f>
        <v>316266.56732648303</v>
      </c>
      <c r="G10" s="98">
        <f t="shared" si="1"/>
        <v>13177.773638603459</v>
      </c>
      <c r="H10" s="98">
        <f t="shared" si="3"/>
        <v>29696.391298261315</v>
      </c>
      <c r="I10" s="99">
        <f t="shared" si="3"/>
        <v>1237.3496374275549</v>
      </c>
      <c r="J10" s="4" t="s">
        <v>130</v>
      </c>
      <c r="K10" s="93">
        <f>B10/$B$5</f>
        <v>0.88305585488274096</v>
      </c>
    </row>
    <row r="11" spans="1:15" ht="17.25" thickBot="1" x14ac:dyDescent="0.3">
      <c r="A11" s="101" t="s">
        <v>243</v>
      </c>
      <c r="B11" s="102"/>
      <c r="C11" s="103"/>
      <c r="D11" s="103"/>
      <c r="E11" s="104"/>
      <c r="F11" s="105">
        <f>(1325*24/12)*8</f>
        <v>21200</v>
      </c>
      <c r="G11" s="106">
        <f t="shared" si="1"/>
        <v>883.33333333333337</v>
      </c>
      <c r="H11" s="106">
        <f t="shared" si="3"/>
        <v>1990.6103286384975</v>
      </c>
      <c r="I11" s="107">
        <f t="shared" si="3"/>
        <v>82.942097026604074</v>
      </c>
      <c r="K11" s="93"/>
    </row>
    <row r="12" spans="1:15" s="13" customFormat="1" ht="17.25" thickBot="1" x14ac:dyDescent="0.3">
      <c r="A12" s="108" t="s">
        <v>132</v>
      </c>
      <c r="B12" s="80">
        <f>SUM(B13:B17)</f>
        <v>358051.94843899994</v>
      </c>
      <c r="C12" s="81">
        <f t="shared" si="0"/>
        <v>14918.831184958332</v>
      </c>
      <c r="D12" s="81">
        <f>B12/10.65</f>
        <v>33619.901261877931</v>
      </c>
      <c r="E12" s="82">
        <f>C12/10.65</f>
        <v>1400.8292192449137</v>
      </c>
      <c r="F12" s="109">
        <f>SUM(F13:F18)</f>
        <v>788277.05317956978</v>
      </c>
      <c r="G12" s="110">
        <f t="shared" si="1"/>
        <v>32844.87721581541</v>
      </c>
      <c r="H12" s="110">
        <f>F12/10.65</f>
        <v>74016.624711696684</v>
      </c>
      <c r="I12" s="111">
        <f>G12/10.65</f>
        <v>3084.0260296540291</v>
      </c>
      <c r="K12" s="112">
        <v>378401.87002456019</v>
      </c>
    </row>
    <row r="13" spans="1:15" s="13" customFormat="1" x14ac:dyDescent="0.25">
      <c r="A13" s="86" t="s">
        <v>133</v>
      </c>
      <c r="B13" s="87">
        <v>125550.84508500001</v>
      </c>
      <c r="C13" s="88">
        <f t="shared" si="0"/>
        <v>5231.2852118750006</v>
      </c>
      <c r="D13" s="88">
        <f t="shared" ref="D13:E18" si="4">B13/10.65</f>
        <v>11788.811745070423</v>
      </c>
      <c r="E13" s="89">
        <f t="shared" si="4"/>
        <v>491.20048937793433</v>
      </c>
      <c r="F13" s="113">
        <f>130154.463796421-16600</f>
        <v>113554.463796421</v>
      </c>
      <c r="G13" s="114">
        <f t="shared" si="1"/>
        <v>4731.4359915175419</v>
      </c>
      <c r="H13" s="114">
        <f t="shared" ref="H13:I18" si="5">F13/10.65</f>
        <v>10662.390966800092</v>
      </c>
      <c r="I13" s="115">
        <f t="shared" si="5"/>
        <v>444.26629028333724</v>
      </c>
      <c r="J13" s="4" t="s">
        <v>130</v>
      </c>
      <c r="K13" s="116">
        <v>0.35064980272377899</v>
      </c>
    </row>
    <row r="14" spans="1:15" s="13" customFormat="1" x14ac:dyDescent="0.25">
      <c r="A14" s="94" t="s">
        <v>134</v>
      </c>
      <c r="B14" s="7">
        <v>190818.23072699999</v>
      </c>
      <c r="C14" s="8">
        <f t="shared" si="0"/>
        <v>7950.7596136249995</v>
      </c>
      <c r="D14" s="8">
        <f t="shared" si="4"/>
        <v>17917.204763098591</v>
      </c>
      <c r="E14" s="9">
        <f t="shared" si="4"/>
        <v>746.55019846244124</v>
      </c>
      <c r="F14" s="117">
        <f>B255</f>
        <v>548378.58886100119</v>
      </c>
      <c r="G14" s="95">
        <f t="shared" si="1"/>
        <v>22849.107869208383</v>
      </c>
      <c r="H14" s="95">
        <f t="shared" si="5"/>
        <v>51490.94731089213</v>
      </c>
      <c r="I14" s="96">
        <f t="shared" si="5"/>
        <v>2145.4561379538386</v>
      </c>
      <c r="K14" s="116">
        <v>0.53293448495088702</v>
      </c>
    </row>
    <row r="15" spans="1:15" s="13" customFormat="1" x14ac:dyDescent="0.25">
      <c r="A15" s="94" t="s">
        <v>135</v>
      </c>
      <c r="B15" s="7">
        <v>41682.872626999997</v>
      </c>
      <c r="C15" s="8">
        <f t="shared" si="0"/>
        <v>1736.7863594583332</v>
      </c>
      <c r="D15" s="8">
        <f t="shared" si="4"/>
        <v>3913.8847537089196</v>
      </c>
      <c r="E15" s="9">
        <f t="shared" si="4"/>
        <v>163.07853140453832</v>
      </c>
      <c r="F15" s="117">
        <v>44051.923244147692</v>
      </c>
      <c r="G15" s="95">
        <f t="shared" si="1"/>
        <v>1835.4968018394873</v>
      </c>
      <c r="H15" s="95">
        <f t="shared" si="5"/>
        <v>4136.3308210467312</v>
      </c>
      <c r="I15" s="96">
        <f t="shared" si="5"/>
        <v>172.34711754361382</v>
      </c>
      <c r="K15" s="116">
        <v>0.11641571232533417</v>
      </c>
    </row>
    <row r="16" spans="1:15" s="13" customFormat="1" x14ac:dyDescent="0.25">
      <c r="A16" s="94" t="s">
        <v>136</v>
      </c>
      <c r="B16" s="7"/>
      <c r="C16" s="8"/>
      <c r="D16" s="8">
        <f t="shared" si="4"/>
        <v>0</v>
      </c>
      <c r="E16" s="9">
        <f t="shared" si="4"/>
        <v>0</v>
      </c>
      <c r="F16" s="117">
        <v>0</v>
      </c>
      <c r="G16" s="95">
        <f t="shared" si="1"/>
        <v>0</v>
      </c>
      <c r="H16" s="95">
        <f t="shared" si="5"/>
        <v>0</v>
      </c>
      <c r="I16" s="96">
        <f t="shared" si="5"/>
        <v>0</v>
      </c>
      <c r="K16" s="116">
        <v>0</v>
      </c>
    </row>
    <row r="17" spans="1:13" s="13" customFormat="1" ht="17.25" thickBot="1" x14ac:dyDescent="0.3">
      <c r="A17" s="94" t="s">
        <v>137</v>
      </c>
      <c r="B17" s="7"/>
      <c r="C17" s="8"/>
      <c r="D17" s="8">
        <f t="shared" si="4"/>
        <v>0</v>
      </c>
      <c r="E17" s="9">
        <f t="shared" si="4"/>
        <v>0</v>
      </c>
      <c r="F17" s="118">
        <f>2532.077278+F11+F9</f>
        <v>82292.077277999997</v>
      </c>
      <c r="G17" s="95">
        <f t="shared" si="1"/>
        <v>3428.8365532499997</v>
      </c>
      <c r="H17" s="95">
        <f t="shared" si="5"/>
        <v>7726.9556129577459</v>
      </c>
      <c r="I17" s="96">
        <f t="shared" si="5"/>
        <v>321.95648387323939</v>
      </c>
      <c r="J17" s="4" t="s">
        <v>138</v>
      </c>
      <c r="K17" s="116">
        <v>0</v>
      </c>
      <c r="M17" s="13">
        <f>G17*8760</f>
        <v>30036608.206469998</v>
      </c>
    </row>
    <row r="18" spans="1:13" s="13" customFormat="1" ht="17.25" thickBot="1" x14ac:dyDescent="0.3">
      <c r="A18" s="119" t="s">
        <v>139</v>
      </c>
      <c r="B18" s="12"/>
      <c r="C18" s="120"/>
      <c r="D18" s="120">
        <v>0</v>
      </c>
      <c r="E18" s="121">
        <f t="shared" si="4"/>
        <v>0</v>
      </c>
      <c r="F18" s="122">
        <v>0</v>
      </c>
      <c r="G18" s="123">
        <f t="shared" si="1"/>
        <v>0</v>
      </c>
      <c r="H18" s="123">
        <f t="shared" si="5"/>
        <v>0</v>
      </c>
      <c r="I18" s="124">
        <f t="shared" si="5"/>
        <v>0</v>
      </c>
      <c r="J18" s="83">
        <v>376948.48574520025</v>
      </c>
      <c r="K18" s="116">
        <v>0</v>
      </c>
    </row>
    <row r="19" spans="1:13" s="13" customFormat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25">
        <f>SUM(F6:F10)</f>
        <v>418908.48574520071</v>
      </c>
    </row>
    <row r="20" spans="1:13" ht="15" customHeight="1" thickBot="1" x14ac:dyDescent="0.3">
      <c r="A20" s="2"/>
      <c r="B20" s="2"/>
      <c r="C20" s="2"/>
      <c r="E20" s="16"/>
      <c r="F20" s="16"/>
      <c r="G20" s="16"/>
      <c r="H20" s="16"/>
      <c r="I20" s="16"/>
      <c r="J20" s="126">
        <f>J18-J19</f>
        <v>-41960.000000000466</v>
      </c>
    </row>
    <row r="21" spans="1:13" ht="18.75" customHeight="1" x14ac:dyDescent="0.25">
      <c r="A21" s="484" t="s">
        <v>8</v>
      </c>
      <c r="B21" s="486" t="s">
        <v>140</v>
      </c>
      <c r="C21" s="487"/>
      <c r="D21" s="487"/>
      <c r="E21" s="488"/>
      <c r="F21" s="489" t="s">
        <v>141</v>
      </c>
      <c r="G21" s="487"/>
      <c r="H21" s="487"/>
      <c r="I21" s="488"/>
    </row>
    <row r="22" spans="1:13" x14ac:dyDescent="0.25">
      <c r="A22" s="485"/>
      <c r="B22" s="68" t="s">
        <v>2</v>
      </c>
      <c r="C22" s="69" t="s">
        <v>3</v>
      </c>
      <c r="D22" s="69" t="s">
        <v>4</v>
      </c>
      <c r="E22" s="70" t="s">
        <v>5</v>
      </c>
      <c r="F22" s="127" t="s">
        <v>2</v>
      </c>
      <c r="G22" s="69" t="s">
        <v>3</v>
      </c>
      <c r="H22" s="69" t="s">
        <v>4</v>
      </c>
      <c r="I22" s="70" t="s">
        <v>5</v>
      </c>
    </row>
    <row r="23" spans="1:13" ht="17.25" customHeight="1" thickBot="1" x14ac:dyDescent="0.3">
      <c r="A23" s="128" t="s">
        <v>9</v>
      </c>
      <c r="B23" s="490" t="s">
        <v>10</v>
      </c>
      <c r="C23" s="491"/>
      <c r="D23" s="491"/>
      <c r="E23" s="492"/>
      <c r="F23" s="493" t="s">
        <v>142</v>
      </c>
      <c r="G23" s="491"/>
      <c r="H23" s="491"/>
      <c r="I23" s="492"/>
    </row>
    <row r="24" spans="1:13" ht="17.25" thickBot="1" x14ac:dyDescent="0.3">
      <c r="A24" s="79" t="s">
        <v>122</v>
      </c>
      <c r="B24" s="129">
        <f>SUM(B25:B29)</f>
        <v>61635.472996000004</v>
      </c>
      <c r="C24" s="130">
        <f t="shared" ref="C24:C35" si="6">B24/$N$1</f>
        <v>2568.144708166667</v>
      </c>
      <c r="D24" s="131">
        <f t="shared" ref="D24:E61" si="7">B24/10.65</f>
        <v>5787.3683564319253</v>
      </c>
      <c r="E24" s="132">
        <f t="shared" si="7"/>
        <v>241.14034818466357</v>
      </c>
      <c r="F24" s="133">
        <f>SUM(F25:F29)</f>
        <v>78851.827726970019</v>
      </c>
      <c r="G24" s="134">
        <f t="shared" ref="G24:G35" si="8">F24/$N$1</f>
        <v>3285.4928219570843</v>
      </c>
      <c r="H24" s="134">
        <f>F24/10.65</f>
        <v>7403.9274861004715</v>
      </c>
      <c r="I24" s="135">
        <f>G24/10.65</f>
        <v>308.49697858751966</v>
      </c>
    </row>
    <row r="25" spans="1:13" x14ac:dyDescent="0.25">
      <c r="A25" s="86" t="s">
        <v>123</v>
      </c>
      <c r="B25" s="136">
        <v>301.952</v>
      </c>
      <c r="C25" s="137">
        <f t="shared" si="6"/>
        <v>12.581333333333333</v>
      </c>
      <c r="D25" s="138">
        <f t="shared" si="7"/>
        <v>28.352300469483566</v>
      </c>
      <c r="E25" s="139">
        <f t="shared" si="7"/>
        <v>1.1813458528951486</v>
      </c>
      <c r="F25" s="140">
        <v>304.97152000494799</v>
      </c>
      <c r="G25" s="141">
        <f t="shared" si="8"/>
        <v>12.707146666872832</v>
      </c>
      <c r="H25" s="141">
        <f t="shared" ref="H25:I29" si="9">F25/10.65</f>
        <v>28.635823474643004</v>
      </c>
      <c r="I25" s="142">
        <f t="shared" si="9"/>
        <v>1.1931593114434584</v>
      </c>
      <c r="K25" s="93">
        <f>B25/$B$24</f>
        <v>4.8989970437899608E-3</v>
      </c>
    </row>
    <row r="26" spans="1:13" x14ac:dyDescent="0.25">
      <c r="A26" s="94" t="s">
        <v>124</v>
      </c>
      <c r="B26" s="143">
        <v>6885</v>
      </c>
      <c r="C26" s="144">
        <f t="shared" si="6"/>
        <v>286.875</v>
      </c>
      <c r="D26" s="145">
        <f t="shared" si="7"/>
        <v>646.47887323943655</v>
      </c>
      <c r="E26" s="20">
        <f t="shared" si="7"/>
        <v>26.93661971830986</v>
      </c>
      <c r="F26" s="140">
        <f>6953.85000011282+16600</f>
        <v>23553.85000011282</v>
      </c>
      <c r="G26" s="146">
        <f t="shared" si="8"/>
        <v>981.41041667136744</v>
      </c>
      <c r="H26" s="146">
        <f t="shared" si="9"/>
        <v>2211.6291079918142</v>
      </c>
      <c r="I26" s="147">
        <f t="shared" si="9"/>
        <v>92.151212832992243</v>
      </c>
      <c r="J26" s="4" t="s">
        <v>143</v>
      </c>
      <c r="K26" s="93">
        <f>B26/$B$24</f>
        <v>0.11170515395325709</v>
      </c>
    </row>
    <row r="27" spans="1:13" x14ac:dyDescent="0.25">
      <c r="A27" s="94" t="s">
        <v>126</v>
      </c>
      <c r="B27" s="143">
        <v>0</v>
      </c>
      <c r="C27" s="144">
        <f t="shared" si="6"/>
        <v>0</v>
      </c>
      <c r="D27" s="145">
        <f t="shared" si="7"/>
        <v>0</v>
      </c>
      <c r="E27" s="20">
        <f t="shared" si="7"/>
        <v>0</v>
      </c>
      <c r="F27" s="140">
        <v>0</v>
      </c>
      <c r="G27" s="146">
        <f t="shared" si="8"/>
        <v>0</v>
      </c>
      <c r="H27" s="146">
        <f t="shared" si="9"/>
        <v>0</v>
      </c>
      <c r="I27" s="147">
        <f t="shared" si="9"/>
        <v>0</v>
      </c>
      <c r="K27" s="93">
        <f>B27/$B$24</f>
        <v>0</v>
      </c>
    </row>
    <row r="28" spans="1:13" x14ac:dyDescent="0.25">
      <c r="A28" s="94" t="s">
        <v>128</v>
      </c>
      <c r="B28" s="143">
        <v>1</v>
      </c>
      <c r="C28" s="144">
        <f t="shared" si="6"/>
        <v>4.1666666666666664E-2</v>
      </c>
      <c r="D28" s="145">
        <f t="shared" si="7"/>
        <v>9.3896713615023469E-2</v>
      </c>
      <c r="E28" s="20">
        <f t="shared" si="7"/>
        <v>3.912363067292644E-3</v>
      </c>
      <c r="F28" s="140">
        <v>1.0100000000163867</v>
      </c>
      <c r="G28" s="146">
        <f t="shared" si="8"/>
        <v>4.2083333334016114E-2</v>
      </c>
      <c r="H28" s="146">
        <f t="shared" si="9"/>
        <v>9.4835680752712356E-2</v>
      </c>
      <c r="I28" s="147">
        <f t="shared" si="9"/>
        <v>3.9514866980296815E-3</v>
      </c>
      <c r="K28" s="93">
        <f>B28/$B$24</f>
        <v>1.6224423232136104E-5</v>
      </c>
    </row>
    <row r="29" spans="1:13" ht="17.25" thickBot="1" x14ac:dyDescent="0.3">
      <c r="A29" s="100" t="s">
        <v>129</v>
      </c>
      <c r="B29" s="148">
        <v>54447.520996000007</v>
      </c>
      <c r="C29" s="149">
        <f t="shared" si="6"/>
        <v>2268.6467081666669</v>
      </c>
      <c r="D29" s="150">
        <f t="shared" si="7"/>
        <v>5112.4432860093902</v>
      </c>
      <c r="E29" s="151">
        <f t="shared" si="7"/>
        <v>213.01847025039126</v>
      </c>
      <c r="F29" s="140">
        <v>54991.996206852229</v>
      </c>
      <c r="G29" s="152">
        <f t="shared" si="8"/>
        <v>2291.3331752855097</v>
      </c>
      <c r="H29" s="152">
        <f t="shared" si="9"/>
        <v>5163.5677189532607</v>
      </c>
      <c r="I29" s="153">
        <f t="shared" si="9"/>
        <v>215.14865495638588</v>
      </c>
      <c r="K29" s="93">
        <f>B29/$B$24</f>
        <v>0.88337962457972086</v>
      </c>
    </row>
    <row r="30" spans="1:13" s="17" customFormat="1" ht="17.25" thickBot="1" x14ac:dyDescent="0.3">
      <c r="A30" s="108" t="s">
        <v>132</v>
      </c>
      <c r="B30" s="154">
        <f>SUM(B31:B35)</f>
        <v>65719.606039999984</v>
      </c>
      <c r="C30" s="130">
        <f t="shared" si="6"/>
        <v>2738.3169183333325</v>
      </c>
      <c r="D30" s="131">
        <f t="shared" si="7"/>
        <v>6170.8550272300454</v>
      </c>
      <c r="E30" s="132">
        <f t="shared" si="7"/>
        <v>257.11895946791856</v>
      </c>
      <c r="F30" s="155">
        <f>SUM(F31:F35)</f>
        <v>25970.258636583312</v>
      </c>
      <c r="G30" s="156">
        <f t="shared" si="8"/>
        <v>1082.0941098576379</v>
      </c>
      <c r="H30" s="156">
        <f>F30/10.65</f>
        <v>2438.5219377073531</v>
      </c>
      <c r="I30" s="157">
        <f>G30/10.65</f>
        <v>101.60508073780638</v>
      </c>
    </row>
    <row r="31" spans="1:13" x14ac:dyDescent="0.25">
      <c r="A31" s="86" t="s">
        <v>133</v>
      </c>
      <c r="B31" s="158">
        <v>9200.4859649999999</v>
      </c>
      <c r="C31" s="137">
        <f t="shared" si="6"/>
        <v>383.35358187499997</v>
      </c>
      <c r="D31" s="159">
        <f t="shared" si="7"/>
        <v>863.8953957746478</v>
      </c>
      <c r="E31" s="160">
        <f t="shared" si="7"/>
        <v>35.995641490610325</v>
      </c>
      <c r="F31" s="140">
        <f>9370.25863658331+16600</f>
        <v>25970.258636583312</v>
      </c>
      <c r="G31" s="141">
        <f t="shared" si="8"/>
        <v>1082.0941098576379</v>
      </c>
      <c r="H31" s="141">
        <f t="shared" ref="H31:I35" si="10">F31/10.65</f>
        <v>2438.5219377073531</v>
      </c>
      <c r="I31" s="142">
        <f t="shared" si="10"/>
        <v>101.60508073780638</v>
      </c>
      <c r="J31" s="4" t="s">
        <v>143</v>
      </c>
      <c r="K31" s="93">
        <f>B31/$B$30</f>
        <v>0.13999606083152963</v>
      </c>
    </row>
    <row r="32" spans="1:13" x14ac:dyDescent="0.25">
      <c r="A32" s="94" t="s">
        <v>134</v>
      </c>
      <c r="B32" s="161">
        <v>56519.120074999984</v>
      </c>
      <c r="C32" s="162">
        <f t="shared" si="6"/>
        <v>2354.9633364583328</v>
      </c>
      <c r="D32" s="163">
        <f t="shared" si="7"/>
        <v>5306.9596314553974</v>
      </c>
      <c r="E32" s="164">
        <f t="shared" si="7"/>
        <v>221.12331797730823</v>
      </c>
      <c r="F32" s="140"/>
      <c r="G32" s="146">
        <f t="shared" si="8"/>
        <v>0</v>
      </c>
      <c r="H32" s="146">
        <f t="shared" si="10"/>
        <v>0</v>
      </c>
      <c r="I32" s="147">
        <f t="shared" si="10"/>
        <v>0</v>
      </c>
      <c r="K32" s="93">
        <f>B32/$B$30</f>
        <v>0.8600039391684704</v>
      </c>
    </row>
    <row r="33" spans="1:11" x14ac:dyDescent="0.25">
      <c r="A33" s="94" t="s">
        <v>136</v>
      </c>
      <c r="B33" s="161">
        <v>0</v>
      </c>
      <c r="C33" s="162">
        <f t="shared" si="6"/>
        <v>0</v>
      </c>
      <c r="D33" s="163">
        <f t="shared" si="7"/>
        <v>0</v>
      </c>
      <c r="E33" s="164">
        <f t="shared" si="7"/>
        <v>0</v>
      </c>
      <c r="F33" s="140">
        <v>0</v>
      </c>
      <c r="G33" s="146">
        <f t="shared" si="8"/>
        <v>0</v>
      </c>
      <c r="H33" s="146">
        <f t="shared" si="10"/>
        <v>0</v>
      </c>
      <c r="I33" s="147">
        <f t="shared" si="10"/>
        <v>0</v>
      </c>
      <c r="K33" s="93">
        <f>B33/$B$30</f>
        <v>0</v>
      </c>
    </row>
    <row r="34" spans="1:11" x14ac:dyDescent="0.25">
      <c r="A34" s="94" t="s">
        <v>137</v>
      </c>
      <c r="B34" s="161">
        <v>0</v>
      </c>
      <c r="C34" s="162">
        <f t="shared" si="6"/>
        <v>0</v>
      </c>
      <c r="D34" s="163">
        <f t="shared" si="7"/>
        <v>0</v>
      </c>
      <c r="E34" s="164">
        <f t="shared" si="7"/>
        <v>0</v>
      </c>
      <c r="F34" s="140">
        <v>0</v>
      </c>
      <c r="G34" s="146">
        <f t="shared" si="8"/>
        <v>0</v>
      </c>
      <c r="H34" s="146">
        <f t="shared" si="10"/>
        <v>0</v>
      </c>
      <c r="I34" s="147">
        <f t="shared" si="10"/>
        <v>0</v>
      </c>
      <c r="K34" s="93">
        <f>B34/$B$30</f>
        <v>0</v>
      </c>
    </row>
    <row r="35" spans="1:11" ht="17.25" thickBot="1" x14ac:dyDescent="0.3">
      <c r="A35" s="119" t="s">
        <v>139</v>
      </c>
      <c r="B35" s="165">
        <v>0</v>
      </c>
      <c r="C35" s="166">
        <f t="shared" si="6"/>
        <v>0</v>
      </c>
      <c r="D35" s="167">
        <f t="shared" si="7"/>
        <v>0</v>
      </c>
      <c r="E35" s="168">
        <f t="shared" si="7"/>
        <v>0</v>
      </c>
      <c r="F35" s="140">
        <v>0</v>
      </c>
      <c r="G35" s="146">
        <f t="shared" si="8"/>
        <v>0</v>
      </c>
      <c r="H35" s="146">
        <f t="shared" si="10"/>
        <v>0</v>
      </c>
      <c r="I35" s="147">
        <f t="shared" si="10"/>
        <v>0</v>
      </c>
      <c r="K35" s="93">
        <f>B35/$B$30</f>
        <v>0</v>
      </c>
    </row>
    <row r="36" spans="1:11" ht="17.25" thickBot="1" x14ac:dyDescent="0.3">
      <c r="A36" s="169" t="s">
        <v>11</v>
      </c>
      <c r="B36" s="476" t="s">
        <v>12</v>
      </c>
      <c r="C36" s="476"/>
      <c r="D36" s="476"/>
      <c r="E36" s="477"/>
      <c r="F36" s="476" t="s">
        <v>144</v>
      </c>
      <c r="G36" s="476"/>
      <c r="H36" s="476"/>
      <c r="I36" s="477"/>
    </row>
    <row r="37" spans="1:11" ht="17.25" thickBot="1" x14ac:dyDescent="0.3">
      <c r="A37" s="79" t="s">
        <v>122</v>
      </c>
      <c r="B37" s="129">
        <f>SUM(B38:B42)</f>
        <v>174392.24871800002</v>
      </c>
      <c r="C37" s="130">
        <f t="shared" ref="C37:C48" si="11">B37/$N$1</f>
        <v>7266.3436965833343</v>
      </c>
      <c r="D37" s="131">
        <f t="shared" si="7"/>
        <v>16374.859034553992</v>
      </c>
      <c r="E37" s="170">
        <f t="shared" si="7"/>
        <v>682.28579310641635</v>
      </c>
      <c r="F37" s="133">
        <f>SUM(F38:F42)</f>
        <v>117600</v>
      </c>
      <c r="G37" s="134">
        <f t="shared" ref="G37:G48" si="12">F37/$N$1</f>
        <v>4900</v>
      </c>
      <c r="H37" s="134">
        <f>F37/10.65</f>
        <v>11042.25352112676</v>
      </c>
      <c r="I37" s="135">
        <f>G37/10.65</f>
        <v>460.09389671361498</v>
      </c>
    </row>
    <row r="38" spans="1:11" x14ac:dyDescent="0.25">
      <c r="A38" s="86" t="s">
        <v>123</v>
      </c>
      <c r="B38" s="136">
        <v>48563.023110999995</v>
      </c>
      <c r="C38" s="137">
        <f t="shared" si="11"/>
        <v>2023.4592962916665</v>
      </c>
      <c r="D38" s="138">
        <f t="shared" si="7"/>
        <v>4559.9082733333325</v>
      </c>
      <c r="E38" s="171">
        <f t="shared" si="7"/>
        <v>189.99617805555553</v>
      </c>
      <c r="F38" s="140">
        <v>28125.477882577132</v>
      </c>
      <c r="G38" s="141">
        <f t="shared" si="12"/>
        <v>1171.8949117740472</v>
      </c>
      <c r="H38" s="141">
        <f t="shared" ref="H38:I42" si="13">F38/10.65</f>
        <v>2640.8899420260218</v>
      </c>
      <c r="I38" s="142">
        <f t="shared" si="13"/>
        <v>110.0370809177509</v>
      </c>
      <c r="K38" s="93">
        <f>B38/$B$37</f>
        <v>0.27847007804531815</v>
      </c>
    </row>
    <row r="39" spans="1:11" x14ac:dyDescent="0.25">
      <c r="A39" s="94" t="s">
        <v>124</v>
      </c>
      <c r="B39" s="143">
        <v>44285.887000000002</v>
      </c>
      <c r="C39" s="144">
        <f t="shared" si="11"/>
        <v>1845.2452916666668</v>
      </c>
      <c r="D39" s="145">
        <f t="shared" si="7"/>
        <v>4158.2992488262908</v>
      </c>
      <c r="E39" s="172">
        <f t="shared" si="7"/>
        <v>173.26246870109549</v>
      </c>
      <c r="F39" s="140">
        <f>25648.3566206709+16600</f>
        <v>42248.3566206709</v>
      </c>
      <c r="G39" s="146">
        <f t="shared" si="12"/>
        <v>1760.3481925279541</v>
      </c>
      <c r="H39" s="146">
        <f t="shared" si="13"/>
        <v>3966.9818423165161</v>
      </c>
      <c r="I39" s="147">
        <f t="shared" si="13"/>
        <v>165.29091009652151</v>
      </c>
      <c r="J39" s="4" t="s">
        <v>143</v>
      </c>
      <c r="K39" s="93">
        <f>B39/$B$37</f>
        <v>0.25394412495713753</v>
      </c>
    </row>
    <row r="40" spans="1:11" x14ac:dyDescent="0.25">
      <c r="A40" s="94" t="s">
        <v>126</v>
      </c>
      <c r="B40" s="143">
        <v>10208.769933</v>
      </c>
      <c r="C40" s="144">
        <f t="shared" si="11"/>
        <v>425.365413875</v>
      </c>
      <c r="D40" s="145">
        <f t="shared" si="7"/>
        <v>958.56994676056331</v>
      </c>
      <c r="E40" s="172">
        <f t="shared" si="7"/>
        <v>39.940414448356805</v>
      </c>
      <c r="F40" s="140">
        <v>5912.4517907920963</v>
      </c>
      <c r="G40" s="146">
        <f t="shared" si="12"/>
        <v>246.35215794967067</v>
      </c>
      <c r="H40" s="146">
        <f t="shared" si="13"/>
        <v>555.15979256263813</v>
      </c>
      <c r="I40" s="147">
        <f t="shared" si="13"/>
        <v>23.131658023443254</v>
      </c>
      <c r="K40" s="93">
        <f>B40/$B$37</f>
        <v>5.8539126641505908E-2</v>
      </c>
    </row>
    <row r="41" spans="1:11" x14ac:dyDescent="0.25">
      <c r="A41" s="94" t="s">
        <v>128</v>
      </c>
      <c r="B41" s="143">
        <v>0</v>
      </c>
      <c r="C41" s="144">
        <f t="shared" si="11"/>
        <v>0</v>
      </c>
      <c r="D41" s="145">
        <f t="shared" si="7"/>
        <v>0</v>
      </c>
      <c r="E41" s="172">
        <f t="shared" si="7"/>
        <v>0</v>
      </c>
      <c r="F41" s="140">
        <v>0</v>
      </c>
      <c r="G41" s="146">
        <f t="shared" si="12"/>
        <v>0</v>
      </c>
      <c r="H41" s="146">
        <f t="shared" si="13"/>
        <v>0</v>
      </c>
      <c r="I41" s="147">
        <f t="shared" si="13"/>
        <v>0</v>
      </c>
      <c r="K41" s="93">
        <f>B41/$B$37</f>
        <v>0</v>
      </c>
    </row>
    <row r="42" spans="1:11" ht="17.25" thickBot="1" x14ac:dyDescent="0.3">
      <c r="A42" s="100" t="s">
        <v>129</v>
      </c>
      <c r="B42" s="148">
        <v>71334.568673999995</v>
      </c>
      <c r="C42" s="149">
        <f t="shared" si="11"/>
        <v>2972.2736947499998</v>
      </c>
      <c r="D42" s="150">
        <f t="shared" si="7"/>
        <v>6698.0815656338018</v>
      </c>
      <c r="E42" s="173">
        <f t="shared" si="7"/>
        <v>279.08673190140843</v>
      </c>
      <c r="F42" s="140">
        <v>41313.713705959868</v>
      </c>
      <c r="G42" s="152">
        <f t="shared" si="12"/>
        <v>1721.4047377483278</v>
      </c>
      <c r="H42" s="152">
        <f t="shared" si="13"/>
        <v>3879.2219442215837</v>
      </c>
      <c r="I42" s="153">
        <f t="shared" si="13"/>
        <v>161.6342476758993</v>
      </c>
      <c r="K42" s="93">
        <f>B42/$B$37</f>
        <v>0.40904667035603831</v>
      </c>
    </row>
    <row r="43" spans="1:11" ht="17.25" thickBot="1" x14ac:dyDescent="0.3">
      <c r="A43" s="108" t="s">
        <v>132</v>
      </c>
      <c r="B43" s="154">
        <f>SUM(B44:B48)</f>
        <v>148888.96178899999</v>
      </c>
      <c r="C43" s="130">
        <f t="shared" si="11"/>
        <v>6203.7067412083334</v>
      </c>
      <c r="D43" s="131">
        <f t="shared" si="7"/>
        <v>13980.184205539905</v>
      </c>
      <c r="E43" s="132">
        <f t="shared" si="7"/>
        <v>582.50767523082936</v>
      </c>
      <c r="F43" s="155">
        <f>SUM(F44:F48)</f>
        <v>40463.593965075896</v>
      </c>
      <c r="G43" s="156">
        <f t="shared" si="12"/>
        <v>1685.9830818781622</v>
      </c>
      <c r="H43" s="156">
        <f>F43/10.65</f>
        <v>3799.3984943733235</v>
      </c>
      <c r="I43" s="157">
        <f>G43/10.65</f>
        <v>158.30827059888847</v>
      </c>
    </row>
    <row r="44" spans="1:11" x14ac:dyDescent="0.25">
      <c r="A44" s="86" t="s">
        <v>133</v>
      </c>
      <c r="B44" s="174">
        <v>29315.393812000002</v>
      </c>
      <c r="C44" s="137">
        <f t="shared" si="11"/>
        <v>1221.4747421666668</v>
      </c>
      <c r="D44" s="138">
        <f t="shared" si="7"/>
        <v>2752.6191372769954</v>
      </c>
      <c r="E44" s="139">
        <f t="shared" si="7"/>
        <v>114.69246405320816</v>
      </c>
      <c r="F44" s="140">
        <f>23863.5939650759+16600</f>
        <v>40463.593965075896</v>
      </c>
      <c r="G44" s="141">
        <f t="shared" si="12"/>
        <v>1685.9830818781622</v>
      </c>
      <c r="H44" s="141">
        <f t="shared" ref="H44:I48" si="14">F44/10.65</f>
        <v>3799.3984943733235</v>
      </c>
      <c r="I44" s="142">
        <f t="shared" si="14"/>
        <v>158.30827059888847</v>
      </c>
      <c r="J44" s="4" t="s">
        <v>143</v>
      </c>
      <c r="K44" s="93">
        <f>B44/$B$43</f>
        <v>0.19689433964584097</v>
      </c>
    </row>
    <row r="45" spans="1:11" x14ac:dyDescent="0.25">
      <c r="A45" s="94" t="s">
        <v>134</v>
      </c>
      <c r="B45" s="175">
        <v>119573.56797699998</v>
      </c>
      <c r="C45" s="144">
        <f t="shared" si="11"/>
        <v>4982.2319990416663</v>
      </c>
      <c r="D45" s="145">
        <f t="shared" si="7"/>
        <v>11227.565068262909</v>
      </c>
      <c r="E45" s="20">
        <f t="shared" si="7"/>
        <v>467.81521117762122</v>
      </c>
      <c r="F45" s="140"/>
      <c r="G45" s="146">
        <f t="shared" si="12"/>
        <v>0</v>
      </c>
      <c r="H45" s="146">
        <f t="shared" si="14"/>
        <v>0</v>
      </c>
      <c r="I45" s="147">
        <f t="shared" si="14"/>
        <v>0</v>
      </c>
      <c r="K45" s="93">
        <f>B45/$B$43</f>
        <v>0.80310566035415898</v>
      </c>
    </row>
    <row r="46" spans="1:11" x14ac:dyDescent="0.25">
      <c r="A46" s="94" t="s">
        <v>136</v>
      </c>
      <c r="B46" s="175">
        <v>0</v>
      </c>
      <c r="C46" s="144">
        <f t="shared" si="11"/>
        <v>0</v>
      </c>
      <c r="D46" s="145">
        <f t="shared" si="7"/>
        <v>0</v>
      </c>
      <c r="E46" s="20">
        <f t="shared" si="7"/>
        <v>0</v>
      </c>
      <c r="F46" s="140">
        <v>0</v>
      </c>
      <c r="G46" s="146">
        <f t="shared" si="12"/>
        <v>0</v>
      </c>
      <c r="H46" s="146">
        <f t="shared" si="14"/>
        <v>0</v>
      </c>
      <c r="I46" s="147">
        <f t="shared" si="14"/>
        <v>0</v>
      </c>
      <c r="K46" s="93">
        <f>B46/$B$43</f>
        <v>0</v>
      </c>
    </row>
    <row r="47" spans="1:11" x14ac:dyDescent="0.25">
      <c r="A47" s="94" t="s">
        <v>137</v>
      </c>
      <c r="B47" s="175">
        <v>0</v>
      </c>
      <c r="C47" s="144">
        <f t="shared" si="11"/>
        <v>0</v>
      </c>
      <c r="D47" s="145">
        <f t="shared" si="7"/>
        <v>0</v>
      </c>
      <c r="E47" s="20">
        <f t="shared" si="7"/>
        <v>0</v>
      </c>
      <c r="F47" s="140">
        <v>0</v>
      </c>
      <c r="G47" s="146">
        <f t="shared" si="12"/>
        <v>0</v>
      </c>
      <c r="H47" s="146">
        <f t="shared" si="14"/>
        <v>0</v>
      </c>
      <c r="I47" s="147">
        <f t="shared" si="14"/>
        <v>0</v>
      </c>
      <c r="K47" s="93">
        <f>B47/$B$43</f>
        <v>0</v>
      </c>
    </row>
    <row r="48" spans="1:11" ht="17.25" thickBot="1" x14ac:dyDescent="0.3">
      <c r="A48" s="100" t="s">
        <v>139</v>
      </c>
      <c r="B48" s="176">
        <v>0</v>
      </c>
      <c r="C48" s="149">
        <f t="shared" si="11"/>
        <v>0</v>
      </c>
      <c r="D48" s="150">
        <f t="shared" si="7"/>
        <v>0</v>
      </c>
      <c r="E48" s="151">
        <f t="shared" si="7"/>
        <v>0</v>
      </c>
      <c r="F48" s="140">
        <v>0</v>
      </c>
      <c r="G48" s="152">
        <f t="shared" si="12"/>
        <v>0</v>
      </c>
      <c r="H48" s="152">
        <f t="shared" si="14"/>
        <v>0</v>
      </c>
      <c r="I48" s="153">
        <f t="shared" si="14"/>
        <v>0</v>
      </c>
      <c r="K48" s="93">
        <f>B48/$B$43</f>
        <v>0</v>
      </c>
    </row>
    <row r="49" spans="1:11" ht="17.25" thickBot="1" x14ac:dyDescent="0.3">
      <c r="A49" s="177" t="s">
        <v>13</v>
      </c>
      <c r="B49" s="475" t="s">
        <v>14</v>
      </c>
      <c r="C49" s="476"/>
      <c r="D49" s="476"/>
      <c r="E49" s="477"/>
      <c r="F49" s="478" t="s">
        <v>145</v>
      </c>
      <c r="G49" s="476"/>
      <c r="H49" s="476"/>
      <c r="I49" s="477"/>
    </row>
    <row r="50" spans="1:11" ht="17.25" thickBot="1" x14ac:dyDescent="0.3">
      <c r="A50" s="79" t="s">
        <v>122</v>
      </c>
      <c r="B50" s="129">
        <f>SUM(B51:B54)</f>
        <v>0</v>
      </c>
      <c r="C50" s="130">
        <f>SUM(C51:C54)</f>
        <v>0</v>
      </c>
      <c r="D50" s="130">
        <f>SUM(D51:D54)</f>
        <v>0</v>
      </c>
      <c r="E50" s="178">
        <f>SUM(E51:E54)</f>
        <v>0</v>
      </c>
      <c r="F50" s="133">
        <v>1818</v>
      </c>
      <c r="G50" s="134">
        <f t="shared" ref="G50:G61" si="15">F50/$N$1</f>
        <v>75.75</v>
      </c>
      <c r="H50" s="134">
        <f>F50/10.65</f>
        <v>170.70422535211267</v>
      </c>
      <c r="I50" s="135">
        <f>G50/10.65</f>
        <v>7.112676056338028</v>
      </c>
    </row>
    <row r="51" spans="1:11" x14ac:dyDescent="0.25">
      <c r="A51" s="94" t="s">
        <v>124</v>
      </c>
      <c r="B51" s="143">
        <v>0</v>
      </c>
      <c r="C51" s="144">
        <f>B51/$N$1</f>
        <v>0</v>
      </c>
      <c r="D51" s="145">
        <f t="shared" si="7"/>
        <v>0</v>
      </c>
      <c r="E51" s="20">
        <f t="shared" si="7"/>
        <v>0</v>
      </c>
      <c r="F51" s="179">
        <v>0</v>
      </c>
      <c r="G51" s="146">
        <f t="shared" si="15"/>
        <v>0</v>
      </c>
      <c r="H51" s="146">
        <f>F51/10.65</f>
        <v>0</v>
      </c>
      <c r="I51" s="147">
        <f>G51/10.65</f>
        <v>0</v>
      </c>
      <c r="K51" s="4" t="e">
        <f>B51/B50</f>
        <v>#DIV/0!</v>
      </c>
    </row>
    <row r="52" spans="1:11" x14ac:dyDescent="0.25">
      <c r="A52" s="94" t="s">
        <v>126</v>
      </c>
      <c r="B52" s="143">
        <v>0</v>
      </c>
      <c r="C52" s="144">
        <f>B52/$N$1</f>
        <v>0</v>
      </c>
      <c r="D52" s="145">
        <f t="shared" si="7"/>
        <v>0</v>
      </c>
      <c r="E52" s="20">
        <f t="shared" si="7"/>
        <v>0</v>
      </c>
      <c r="F52" s="179">
        <v>0</v>
      </c>
      <c r="G52" s="146">
        <f t="shared" si="15"/>
        <v>0</v>
      </c>
      <c r="H52" s="146">
        <f t="shared" ref="H52:I54" si="16">F52/10.65</f>
        <v>0</v>
      </c>
      <c r="I52" s="147">
        <f t="shared" si="16"/>
        <v>0</v>
      </c>
    </row>
    <row r="53" spans="1:11" x14ac:dyDescent="0.25">
      <c r="A53" s="94" t="s">
        <v>128</v>
      </c>
      <c r="B53" s="143">
        <v>0</v>
      </c>
      <c r="C53" s="144">
        <f>B53/$N$1</f>
        <v>0</v>
      </c>
      <c r="D53" s="145">
        <f t="shared" si="7"/>
        <v>0</v>
      </c>
      <c r="E53" s="20">
        <f t="shared" si="7"/>
        <v>0</v>
      </c>
      <c r="F53" s="179">
        <v>0</v>
      </c>
      <c r="G53" s="146">
        <f t="shared" si="15"/>
        <v>0</v>
      </c>
      <c r="H53" s="146">
        <f t="shared" si="16"/>
        <v>0</v>
      </c>
      <c r="I53" s="147">
        <f t="shared" si="16"/>
        <v>0</v>
      </c>
    </row>
    <row r="54" spans="1:11" ht="17.25" thickBot="1" x14ac:dyDescent="0.3">
      <c r="A54" s="100" t="s">
        <v>129</v>
      </c>
      <c r="B54" s="148">
        <v>0</v>
      </c>
      <c r="C54" s="149">
        <f>B54/$N$1</f>
        <v>0</v>
      </c>
      <c r="D54" s="150">
        <f t="shared" si="7"/>
        <v>0</v>
      </c>
      <c r="E54" s="151">
        <f t="shared" si="7"/>
        <v>0</v>
      </c>
      <c r="F54" s="180">
        <v>1818</v>
      </c>
      <c r="G54" s="152">
        <f t="shared" si="15"/>
        <v>75.75</v>
      </c>
      <c r="H54" s="152">
        <f t="shared" si="16"/>
        <v>170.70422535211267</v>
      </c>
      <c r="I54" s="153">
        <f t="shared" si="16"/>
        <v>7.112676056338028</v>
      </c>
    </row>
    <row r="55" spans="1:11" ht="17.25" thickBot="1" x14ac:dyDescent="0.3">
      <c r="A55" s="108" t="s">
        <v>132</v>
      </c>
      <c r="B55" s="154">
        <f>SUM(B56:B61)</f>
        <v>5064.4256399999995</v>
      </c>
      <c r="C55" s="181">
        <f>SUM(C56:C61)</f>
        <v>211.01773500000002</v>
      </c>
      <c r="D55" s="181">
        <f>SUM(D56:D61)</f>
        <v>475.53292394366196</v>
      </c>
      <c r="E55" s="182">
        <f>SUM(E56:E61)</f>
        <v>19.813871830985917</v>
      </c>
      <c r="F55" s="155">
        <f>SUM(F56:F61)</f>
        <v>1458.7018241371013</v>
      </c>
      <c r="G55" s="156">
        <f t="shared" si="15"/>
        <v>60.779242672379219</v>
      </c>
      <c r="H55" s="156">
        <f>F55/10.65</f>
        <v>136.96730743071373</v>
      </c>
      <c r="I55" s="157">
        <f>G55/10.65</f>
        <v>5.7069711429464052</v>
      </c>
      <c r="K55" s="183">
        <f>B56+B57</f>
        <v>2532.3483619999997</v>
      </c>
    </row>
    <row r="56" spans="1:11" x14ac:dyDescent="0.25">
      <c r="A56" s="86" t="s">
        <v>133</v>
      </c>
      <c r="B56" s="174">
        <v>2438.2449999999999</v>
      </c>
      <c r="C56" s="137">
        <f t="shared" ref="C56:C61" si="17">B56/$N$1</f>
        <v>101.59354166666667</v>
      </c>
      <c r="D56" s="138">
        <f t="shared" si="7"/>
        <v>228.94319248826289</v>
      </c>
      <c r="E56" s="139">
        <f t="shared" si="7"/>
        <v>9.5392996870109545</v>
      </c>
      <c r="F56" s="140">
        <v>1458.7018241371013</v>
      </c>
      <c r="G56" s="141">
        <f t="shared" si="15"/>
        <v>60.779242672379219</v>
      </c>
      <c r="H56" s="141">
        <f t="shared" ref="H56:I61" si="18">F56/10.65</f>
        <v>136.96730743071373</v>
      </c>
      <c r="I56" s="142">
        <f t="shared" si="18"/>
        <v>5.7069711429464052</v>
      </c>
      <c r="K56" s="93">
        <f>B56/$K$55</f>
        <v>0.96283948787927476</v>
      </c>
    </row>
    <row r="57" spans="1:11" x14ac:dyDescent="0.25">
      <c r="A57" s="94" t="s">
        <v>134</v>
      </c>
      <c r="B57" s="175">
        <v>94.103362000000004</v>
      </c>
      <c r="C57" s="144">
        <f t="shared" si="17"/>
        <v>3.920973416666667</v>
      </c>
      <c r="D57" s="145">
        <f t="shared" si="7"/>
        <v>8.8359964319248832</v>
      </c>
      <c r="E57" s="20">
        <f t="shared" si="7"/>
        <v>0.36816651799687011</v>
      </c>
      <c r="F57" s="140"/>
      <c r="G57" s="146">
        <f t="shared" si="15"/>
        <v>0</v>
      </c>
      <c r="H57" s="146">
        <f t="shared" si="18"/>
        <v>0</v>
      </c>
      <c r="I57" s="147">
        <f t="shared" si="18"/>
        <v>0</v>
      </c>
      <c r="K57" s="93">
        <f>B57/$K$55</f>
        <v>3.716051212072536E-2</v>
      </c>
    </row>
    <row r="58" spans="1:11" x14ac:dyDescent="0.25">
      <c r="A58" s="94" t="s">
        <v>135</v>
      </c>
      <c r="B58" s="175">
        <v>0</v>
      </c>
      <c r="C58" s="144">
        <f t="shared" si="17"/>
        <v>0</v>
      </c>
      <c r="D58" s="145">
        <f t="shared" si="7"/>
        <v>0</v>
      </c>
      <c r="E58" s="20">
        <f t="shared" si="7"/>
        <v>0</v>
      </c>
      <c r="F58" s="140">
        <v>0</v>
      </c>
      <c r="G58" s="146">
        <f t="shared" si="15"/>
        <v>0</v>
      </c>
      <c r="H58" s="146">
        <f t="shared" si="18"/>
        <v>0</v>
      </c>
      <c r="I58" s="147">
        <f t="shared" si="18"/>
        <v>0</v>
      </c>
      <c r="K58" s="93">
        <f>B58/$B$55</f>
        <v>0</v>
      </c>
    </row>
    <row r="59" spans="1:11" x14ac:dyDescent="0.25">
      <c r="A59" s="94" t="s">
        <v>136</v>
      </c>
      <c r="B59" s="175">
        <v>0</v>
      </c>
      <c r="C59" s="144">
        <f t="shared" si="17"/>
        <v>0</v>
      </c>
      <c r="D59" s="145">
        <f t="shared" si="7"/>
        <v>0</v>
      </c>
      <c r="E59" s="20">
        <f t="shared" si="7"/>
        <v>0</v>
      </c>
      <c r="F59" s="140">
        <v>0</v>
      </c>
      <c r="G59" s="146">
        <f t="shared" si="15"/>
        <v>0</v>
      </c>
      <c r="H59" s="146">
        <f t="shared" si="18"/>
        <v>0</v>
      </c>
      <c r="I59" s="147">
        <f t="shared" si="18"/>
        <v>0</v>
      </c>
      <c r="K59" s="93">
        <f>B59/$B$55</f>
        <v>0</v>
      </c>
    </row>
    <row r="60" spans="1:11" x14ac:dyDescent="0.25">
      <c r="A60" s="94" t="s">
        <v>137</v>
      </c>
      <c r="B60" s="175">
        <v>2532.0772780000002</v>
      </c>
      <c r="C60" s="144">
        <f t="shared" si="17"/>
        <v>105.50321991666668</v>
      </c>
      <c r="D60" s="145">
        <f t="shared" si="7"/>
        <v>237.75373502347418</v>
      </c>
      <c r="E60" s="20">
        <f t="shared" si="7"/>
        <v>9.9064056259780919</v>
      </c>
      <c r="F60" s="140">
        <v>0</v>
      </c>
      <c r="G60" s="146">
        <f t="shared" si="15"/>
        <v>0</v>
      </c>
      <c r="H60" s="146">
        <f t="shared" si="18"/>
        <v>0</v>
      </c>
      <c r="I60" s="147">
        <f t="shared" si="18"/>
        <v>0</v>
      </c>
      <c r="K60" s="93">
        <v>0</v>
      </c>
    </row>
    <row r="61" spans="1:11" ht="17.25" thickBot="1" x14ac:dyDescent="0.3">
      <c r="A61" s="100" t="s">
        <v>139</v>
      </c>
      <c r="B61" s="176">
        <v>0</v>
      </c>
      <c r="C61" s="149">
        <f t="shared" si="17"/>
        <v>0</v>
      </c>
      <c r="D61" s="150">
        <f t="shared" si="7"/>
        <v>0</v>
      </c>
      <c r="E61" s="151">
        <f t="shared" si="7"/>
        <v>0</v>
      </c>
      <c r="F61" s="140">
        <v>0</v>
      </c>
      <c r="G61" s="152">
        <f t="shared" si="15"/>
        <v>0</v>
      </c>
      <c r="H61" s="152">
        <f t="shared" si="18"/>
        <v>0</v>
      </c>
      <c r="I61" s="153">
        <f t="shared" si="18"/>
        <v>0</v>
      </c>
      <c r="K61" s="93">
        <f>B61/$B$55</f>
        <v>0</v>
      </c>
    </row>
    <row r="62" spans="1:11" ht="17.25" thickBot="1" x14ac:dyDescent="0.3">
      <c r="A62" s="177" t="s">
        <v>15</v>
      </c>
      <c r="B62" s="475" t="s">
        <v>16</v>
      </c>
      <c r="C62" s="476"/>
      <c r="D62" s="476"/>
      <c r="E62" s="477"/>
      <c r="F62" s="478" t="s">
        <v>146</v>
      </c>
      <c r="G62" s="476"/>
      <c r="H62" s="476"/>
      <c r="I62" s="477"/>
    </row>
    <row r="63" spans="1:11" ht="17.25" thickBot="1" x14ac:dyDescent="0.3">
      <c r="A63" s="79" t="s">
        <v>122</v>
      </c>
      <c r="B63" s="129">
        <f>SUM(B64:B67)</f>
        <v>0</v>
      </c>
      <c r="C63" s="130">
        <f>SUM(C64:C67)</f>
        <v>0</v>
      </c>
      <c r="D63" s="130">
        <f>SUM(D64:D67)</f>
        <v>0</v>
      </c>
      <c r="E63" s="178">
        <f>SUM(E64:E67)</f>
        <v>0</v>
      </c>
      <c r="F63" s="133">
        <v>1010</v>
      </c>
      <c r="G63" s="134">
        <f t="shared" ref="G63:G74" si="19">F63/$N$1</f>
        <v>42.083333333333336</v>
      </c>
      <c r="H63" s="134">
        <f>F63/10.65</f>
        <v>94.835680751173712</v>
      </c>
      <c r="I63" s="135">
        <f>G63/10.65</f>
        <v>3.9514866979655712</v>
      </c>
    </row>
    <row r="64" spans="1:11" x14ac:dyDescent="0.25">
      <c r="A64" s="94" t="s">
        <v>124</v>
      </c>
      <c r="B64" s="143">
        <v>0</v>
      </c>
      <c r="C64" s="144">
        <f>B64/$N$1</f>
        <v>0</v>
      </c>
      <c r="D64" s="145">
        <f t="shared" ref="D64:E67" si="20">B64/10.65</f>
        <v>0</v>
      </c>
      <c r="E64" s="20">
        <f t="shared" si="20"/>
        <v>0</v>
      </c>
      <c r="F64" s="179">
        <v>0</v>
      </c>
      <c r="G64" s="146">
        <f t="shared" si="19"/>
        <v>0</v>
      </c>
      <c r="H64" s="146">
        <f t="shared" ref="H64:I67" si="21">F64/10.65</f>
        <v>0</v>
      </c>
      <c r="I64" s="147">
        <f t="shared" si="21"/>
        <v>0</v>
      </c>
      <c r="K64" s="4" t="e">
        <f>B64/B63</f>
        <v>#DIV/0!</v>
      </c>
    </row>
    <row r="65" spans="1:11" x14ac:dyDescent="0.25">
      <c r="A65" s="94" t="s">
        <v>126</v>
      </c>
      <c r="B65" s="143">
        <v>0</v>
      </c>
      <c r="C65" s="144">
        <f>B65/$N$1</f>
        <v>0</v>
      </c>
      <c r="D65" s="145">
        <f t="shared" si="20"/>
        <v>0</v>
      </c>
      <c r="E65" s="20">
        <f t="shared" si="20"/>
        <v>0</v>
      </c>
      <c r="F65" s="179">
        <v>0</v>
      </c>
      <c r="G65" s="146">
        <f t="shared" si="19"/>
        <v>0</v>
      </c>
      <c r="H65" s="146">
        <f t="shared" si="21"/>
        <v>0</v>
      </c>
      <c r="I65" s="147">
        <f t="shared" si="21"/>
        <v>0</v>
      </c>
    </row>
    <row r="66" spans="1:11" x14ac:dyDescent="0.25">
      <c r="A66" s="94" t="s">
        <v>128</v>
      </c>
      <c r="B66" s="143">
        <v>0</v>
      </c>
      <c r="C66" s="144">
        <f>B66/$N$1</f>
        <v>0</v>
      </c>
      <c r="D66" s="145">
        <f t="shared" si="20"/>
        <v>0</v>
      </c>
      <c r="E66" s="20">
        <f t="shared" si="20"/>
        <v>0</v>
      </c>
      <c r="F66" s="179">
        <v>0</v>
      </c>
      <c r="G66" s="146">
        <f t="shared" si="19"/>
        <v>0</v>
      </c>
      <c r="H66" s="146">
        <f t="shared" si="21"/>
        <v>0</v>
      </c>
      <c r="I66" s="147">
        <f t="shared" si="21"/>
        <v>0</v>
      </c>
    </row>
    <row r="67" spans="1:11" ht="17.25" thickBot="1" x14ac:dyDescent="0.3">
      <c r="A67" s="100" t="s">
        <v>129</v>
      </c>
      <c r="B67" s="184">
        <v>0</v>
      </c>
      <c r="C67" s="185">
        <f>B67/$N$1</f>
        <v>0</v>
      </c>
      <c r="D67" s="186">
        <f t="shared" si="20"/>
        <v>0</v>
      </c>
      <c r="E67" s="21">
        <f t="shared" si="20"/>
        <v>0</v>
      </c>
      <c r="F67" s="180">
        <v>1010</v>
      </c>
      <c r="G67" s="152">
        <f t="shared" si="19"/>
        <v>42.083333333333336</v>
      </c>
      <c r="H67" s="152">
        <f t="shared" si="21"/>
        <v>94.835680751173712</v>
      </c>
      <c r="I67" s="153">
        <f t="shared" si="21"/>
        <v>3.9514866979655712</v>
      </c>
    </row>
    <row r="68" spans="1:11" ht="17.25" thickBot="1" x14ac:dyDescent="0.3">
      <c r="A68" s="108" t="s">
        <v>132</v>
      </c>
      <c r="B68" s="154">
        <f>SUM(B69:B74)</f>
        <v>5137.2880860000005</v>
      </c>
      <c r="C68" s="181">
        <f>SUM(C69:C74)</f>
        <v>214.05367025000004</v>
      </c>
      <c r="D68" s="181">
        <f>SUM(D69:D74)</f>
        <v>482.37446816901411</v>
      </c>
      <c r="E68" s="182">
        <f>SUM(E69:E74)</f>
        <v>20.098936173708921</v>
      </c>
      <c r="F68" s="155">
        <f>SUM(F69:F74)</f>
        <v>1346.9813073184516</v>
      </c>
      <c r="G68" s="156">
        <f t="shared" si="19"/>
        <v>56.124221138268815</v>
      </c>
      <c r="H68" s="156">
        <f>F68/10.65</f>
        <v>126.47711805807057</v>
      </c>
      <c r="I68" s="157">
        <f>G68/10.65</f>
        <v>5.2698799190862733</v>
      </c>
      <c r="K68" s="183">
        <f>B69+B70</f>
        <v>2605.2108080000003</v>
      </c>
    </row>
    <row r="69" spans="1:11" x14ac:dyDescent="0.25">
      <c r="A69" s="86" t="s">
        <v>133</v>
      </c>
      <c r="B69" s="174">
        <v>2316.2840000000001</v>
      </c>
      <c r="C69" s="137">
        <f t="shared" ref="C69:C74" si="22">B69/$N$1</f>
        <v>96.511833333333342</v>
      </c>
      <c r="D69" s="138">
        <f t="shared" ref="D69:E74" si="23">B69/10.65</f>
        <v>217.49145539906104</v>
      </c>
      <c r="E69" s="139">
        <f t="shared" si="23"/>
        <v>9.0621439749608772</v>
      </c>
      <c r="F69" s="187">
        <v>1346.9813073184516</v>
      </c>
      <c r="G69" s="188">
        <f t="shared" si="19"/>
        <v>56.124221138268815</v>
      </c>
      <c r="H69" s="188">
        <f t="shared" ref="H69:I74" si="24">F69/10.65</f>
        <v>126.47711805807057</v>
      </c>
      <c r="I69" s="189">
        <f t="shared" si="24"/>
        <v>5.2698799190862733</v>
      </c>
      <c r="K69" s="93">
        <f>B69/$K$68</f>
        <v>0.8890965724874268</v>
      </c>
    </row>
    <row r="70" spans="1:11" x14ac:dyDescent="0.25">
      <c r="A70" s="94" t="s">
        <v>134</v>
      </c>
      <c r="B70" s="175">
        <v>288.92680799999999</v>
      </c>
      <c r="C70" s="144">
        <f t="shared" si="22"/>
        <v>12.038617</v>
      </c>
      <c r="D70" s="145">
        <f t="shared" si="23"/>
        <v>27.129277746478873</v>
      </c>
      <c r="E70" s="20">
        <f t="shared" si="23"/>
        <v>1.1303865727699531</v>
      </c>
      <c r="F70" s="190"/>
      <c r="G70" s="146">
        <f t="shared" si="19"/>
        <v>0</v>
      </c>
      <c r="H70" s="146">
        <f t="shared" si="24"/>
        <v>0</v>
      </c>
      <c r="I70" s="147">
        <f t="shared" si="24"/>
        <v>0</v>
      </c>
      <c r="K70" s="93">
        <f>B70/$K$68</f>
        <v>0.11090342751257309</v>
      </c>
    </row>
    <row r="71" spans="1:11" x14ac:dyDescent="0.25">
      <c r="A71" s="94" t="s">
        <v>135</v>
      </c>
      <c r="B71" s="175">
        <v>0</v>
      </c>
      <c r="C71" s="144">
        <f t="shared" si="22"/>
        <v>0</v>
      </c>
      <c r="D71" s="145">
        <f t="shared" si="23"/>
        <v>0</v>
      </c>
      <c r="E71" s="20">
        <f t="shared" si="23"/>
        <v>0</v>
      </c>
      <c r="F71" s="190">
        <v>0</v>
      </c>
      <c r="G71" s="146">
        <f t="shared" si="19"/>
        <v>0</v>
      </c>
      <c r="H71" s="146">
        <f t="shared" si="24"/>
        <v>0</v>
      </c>
      <c r="I71" s="147">
        <f t="shared" si="24"/>
        <v>0</v>
      </c>
      <c r="K71" s="93">
        <f>B71/$B$68</f>
        <v>0</v>
      </c>
    </row>
    <row r="72" spans="1:11" x14ac:dyDescent="0.25">
      <c r="A72" s="94" t="s">
        <v>136</v>
      </c>
      <c r="B72" s="175">
        <v>0</v>
      </c>
      <c r="C72" s="144">
        <f t="shared" si="22"/>
        <v>0</v>
      </c>
      <c r="D72" s="145">
        <f t="shared" si="23"/>
        <v>0</v>
      </c>
      <c r="E72" s="20">
        <f t="shared" si="23"/>
        <v>0</v>
      </c>
      <c r="F72" s="190">
        <v>0</v>
      </c>
      <c r="G72" s="146">
        <f t="shared" si="19"/>
        <v>0</v>
      </c>
      <c r="H72" s="146">
        <f t="shared" si="24"/>
        <v>0</v>
      </c>
      <c r="I72" s="147">
        <f t="shared" si="24"/>
        <v>0</v>
      </c>
      <c r="K72" s="93">
        <f>B72/$B$68</f>
        <v>0</v>
      </c>
    </row>
    <row r="73" spans="1:11" x14ac:dyDescent="0.25">
      <c r="A73" s="94" t="s">
        <v>137</v>
      </c>
      <c r="B73" s="175">
        <v>2532.0772780000002</v>
      </c>
      <c r="C73" s="144">
        <f t="shared" si="22"/>
        <v>105.50321991666668</v>
      </c>
      <c r="D73" s="145">
        <f t="shared" si="23"/>
        <v>237.75373502347418</v>
      </c>
      <c r="E73" s="20">
        <f t="shared" si="23"/>
        <v>9.9064056259780919</v>
      </c>
      <c r="F73" s="190">
        <v>0</v>
      </c>
      <c r="G73" s="146">
        <f t="shared" si="19"/>
        <v>0</v>
      </c>
      <c r="H73" s="146">
        <f t="shared" si="24"/>
        <v>0</v>
      </c>
      <c r="I73" s="147">
        <f t="shared" si="24"/>
        <v>0</v>
      </c>
      <c r="K73" s="93">
        <v>0</v>
      </c>
    </row>
    <row r="74" spans="1:11" ht="17.25" thickBot="1" x14ac:dyDescent="0.3">
      <c r="A74" s="119" t="s">
        <v>139</v>
      </c>
      <c r="B74" s="191">
        <v>0</v>
      </c>
      <c r="C74" s="185">
        <f t="shared" si="22"/>
        <v>0</v>
      </c>
      <c r="D74" s="186">
        <f t="shared" si="23"/>
        <v>0</v>
      </c>
      <c r="E74" s="21">
        <f t="shared" si="23"/>
        <v>0</v>
      </c>
      <c r="F74" s="192">
        <v>0</v>
      </c>
      <c r="G74" s="193">
        <f t="shared" si="19"/>
        <v>0</v>
      </c>
      <c r="H74" s="193">
        <f t="shared" si="24"/>
        <v>0</v>
      </c>
      <c r="I74" s="194">
        <f t="shared" si="24"/>
        <v>0</v>
      </c>
      <c r="K74" s="93">
        <f>B74/$B$68</f>
        <v>0</v>
      </c>
    </row>
    <row r="75" spans="1:11" x14ac:dyDescent="0.25">
      <c r="A75" s="195"/>
      <c r="B75" s="196"/>
      <c r="C75" s="197"/>
      <c r="D75" s="198"/>
      <c r="E75" s="199"/>
      <c r="F75" s="200"/>
      <c r="G75" s="200"/>
      <c r="H75" s="200"/>
      <c r="I75" s="200"/>
    </row>
    <row r="76" spans="1:11" ht="15" customHeight="1" thickBot="1" x14ac:dyDescent="0.3">
      <c r="A76" s="18"/>
      <c r="B76" s="18"/>
      <c r="C76" s="18"/>
      <c r="D76" s="201"/>
      <c r="E76" s="19"/>
      <c r="F76" s="19"/>
      <c r="G76" s="19"/>
      <c r="H76" s="19"/>
      <c r="I76" s="19"/>
    </row>
    <row r="77" spans="1:11" ht="21.75" customHeight="1" x14ac:dyDescent="0.25">
      <c r="A77" s="484" t="s">
        <v>17</v>
      </c>
      <c r="B77" s="494" t="s">
        <v>140</v>
      </c>
      <c r="C77" s="495"/>
      <c r="D77" s="495"/>
      <c r="E77" s="496"/>
      <c r="F77" s="497" t="s">
        <v>141</v>
      </c>
      <c r="G77" s="495"/>
      <c r="H77" s="495"/>
      <c r="I77" s="496"/>
    </row>
    <row r="78" spans="1:11" x14ac:dyDescent="0.25">
      <c r="A78" s="485"/>
      <c r="B78" s="68" t="s">
        <v>2</v>
      </c>
      <c r="C78" s="69" t="s">
        <v>3</v>
      </c>
      <c r="D78" s="69" t="s">
        <v>4</v>
      </c>
      <c r="E78" s="70" t="s">
        <v>5</v>
      </c>
      <c r="F78" s="127" t="s">
        <v>2</v>
      </c>
      <c r="G78" s="69" t="s">
        <v>3</v>
      </c>
      <c r="H78" s="69" t="s">
        <v>4</v>
      </c>
      <c r="I78" s="70" t="s">
        <v>5</v>
      </c>
    </row>
    <row r="79" spans="1:11" ht="17.25" thickBot="1" x14ac:dyDescent="0.3">
      <c r="A79" s="202" t="s">
        <v>18</v>
      </c>
      <c r="B79" s="508"/>
      <c r="C79" s="509"/>
      <c r="D79" s="509"/>
      <c r="E79" s="509"/>
      <c r="F79" s="509"/>
      <c r="G79" s="509"/>
      <c r="H79" s="509"/>
      <c r="I79" s="510"/>
    </row>
    <row r="80" spans="1:11" ht="17.25" thickBot="1" x14ac:dyDescent="0.35">
      <c r="A80" s="203" t="s">
        <v>122</v>
      </c>
      <c r="B80" s="129">
        <f>SUM(B81:B85)</f>
        <v>1340.2840000000001</v>
      </c>
      <c r="C80" s="130">
        <f t="shared" ref="C80:C91" si="25">B80/$N$1</f>
        <v>55.845166666666671</v>
      </c>
      <c r="D80" s="204">
        <f t="shared" ref="D80:E91" si="26">B80/10.65</f>
        <v>125.84826291079813</v>
      </c>
      <c r="E80" s="132">
        <f t="shared" si="26"/>
        <v>5.243677621283255</v>
      </c>
      <c r="F80" s="205">
        <v>1800</v>
      </c>
      <c r="G80" s="206">
        <f t="shared" ref="G80:G91" si="27">F80/$N$1</f>
        <v>75</v>
      </c>
      <c r="H80" s="206">
        <f t="shared" ref="H80:I91" si="28">F80/10.65</f>
        <v>169.01408450704224</v>
      </c>
      <c r="I80" s="207">
        <f t="shared" si="28"/>
        <v>7.0422535211267601</v>
      </c>
    </row>
    <row r="81" spans="1:11" x14ac:dyDescent="0.3">
      <c r="A81" s="208" t="s">
        <v>123</v>
      </c>
      <c r="B81" s="136">
        <v>0</v>
      </c>
      <c r="C81" s="137">
        <f t="shared" si="25"/>
        <v>0</v>
      </c>
      <c r="D81" s="209">
        <f t="shared" si="26"/>
        <v>0</v>
      </c>
      <c r="E81" s="139">
        <f t="shared" si="26"/>
        <v>0</v>
      </c>
      <c r="F81" s="210">
        <v>0</v>
      </c>
      <c r="G81" s="211">
        <f t="shared" si="27"/>
        <v>0</v>
      </c>
      <c r="H81" s="211">
        <f t="shared" si="28"/>
        <v>0</v>
      </c>
      <c r="I81" s="212">
        <f t="shared" si="28"/>
        <v>0</v>
      </c>
    </row>
    <row r="82" spans="1:11" x14ac:dyDescent="0.3">
      <c r="A82" s="213" t="s">
        <v>124</v>
      </c>
      <c r="B82" s="143">
        <v>0</v>
      </c>
      <c r="C82" s="144">
        <f t="shared" si="25"/>
        <v>0</v>
      </c>
      <c r="D82" s="214">
        <f t="shared" si="26"/>
        <v>0</v>
      </c>
      <c r="E82" s="20">
        <f t="shared" si="26"/>
        <v>0</v>
      </c>
      <c r="F82" s="215">
        <v>0</v>
      </c>
      <c r="G82" s="216">
        <f t="shared" si="27"/>
        <v>0</v>
      </c>
      <c r="H82" s="216">
        <f t="shared" si="28"/>
        <v>0</v>
      </c>
      <c r="I82" s="217">
        <f t="shared" si="28"/>
        <v>0</v>
      </c>
    </row>
    <row r="83" spans="1:11" x14ac:dyDescent="0.3">
      <c r="A83" s="213" t="s">
        <v>126</v>
      </c>
      <c r="B83" s="143">
        <v>0</v>
      </c>
      <c r="C83" s="144">
        <f t="shared" si="25"/>
        <v>0</v>
      </c>
      <c r="D83" s="214">
        <f t="shared" si="26"/>
        <v>0</v>
      </c>
      <c r="E83" s="20">
        <f t="shared" si="26"/>
        <v>0</v>
      </c>
      <c r="F83" s="215">
        <v>0</v>
      </c>
      <c r="G83" s="216">
        <f t="shared" si="27"/>
        <v>0</v>
      </c>
      <c r="H83" s="216">
        <f t="shared" si="28"/>
        <v>0</v>
      </c>
      <c r="I83" s="217">
        <f t="shared" si="28"/>
        <v>0</v>
      </c>
    </row>
    <row r="84" spans="1:11" x14ac:dyDescent="0.3">
      <c r="A84" s="213" t="s">
        <v>128</v>
      </c>
      <c r="B84" s="143">
        <v>0</v>
      </c>
      <c r="C84" s="144">
        <f t="shared" si="25"/>
        <v>0</v>
      </c>
      <c r="D84" s="214">
        <f t="shared" si="26"/>
        <v>0</v>
      </c>
      <c r="E84" s="20">
        <f t="shared" si="26"/>
        <v>0</v>
      </c>
      <c r="F84" s="215">
        <v>0</v>
      </c>
      <c r="G84" s="216">
        <f t="shared" si="27"/>
        <v>0</v>
      </c>
      <c r="H84" s="216">
        <f t="shared" si="28"/>
        <v>0</v>
      </c>
      <c r="I84" s="217">
        <f t="shared" si="28"/>
        <v>0</v>
      </c>
    </row>
    <row r="85" spans="1:11" ht="17.25" thickBot="1" x14ac:dyDescent="0.35">
      <c r="A85" s="218" t="s">
        <v>129</v>
      </c>
      <c r="B85" s="148">
        <v>1340.2840000000001</v>
      </c>
      <c r="C85" s="149">
        <f t="shared" si="25"/>
        <v>55.845166666666671</v>
      </c>
      <c r="D85" s="219">
        <f t="shared" si="26"/>
        <v>125.84826291079813</v>
      </c>
      <c r="E85" s="151">
        <f t="shared" si="26"/>
        <v>5.243677621283255</v>
      </c>
      <c r="F85" s="220">
        <v>1800</v>
      </c>
      <c r="G85" s="221">
        <f t="shared" si="27"/>
        <v>75</v>
      </c>
      <c r="H85" s="221">
        <f t="shared" si="28"/>
        <v>169.01408450704224</v>
      </c>
      <c r="I85" s="222">
        <f t="shared" si="28"/>
        <v>7.0422535211267601</v>
      </c>
    </row>
    <row r="86" spans="1:11" ht="17.25" thickBot="1" x14ac:dyDescent="0.3">
      <c r="A86" s="223" t="s">
        <v>132</v>
      </c>
      <c r="B86" s="129">
        <f>SUM(B87:B91)</f>
        <v>635.68399999999986</v>
      </c>
      <c r="C86" s="130">
        <f t="shared" si="25"/>
        <v>26.486833333333326</v>
      </c>
      <c r="D86" s="204">
        <f t="shared" si="26"/>
        <v>59.688638497652569</v>
      </c>
      <c r="E86" s="132">
        <f t="shared" si="26"/>
        <v>2.4870266040688569</v>
      </c>
      <c r="F86" s="224">
        <v>0</v>
      </c>
      <c r="G86" s="206">
        <f t="shared" si="27"/>
        <v>0</v>
      </c>
      <c r="H86" s="206">
        <f t="shared" si="28"/>
        <v>0</v>
      </c>
      <c r="I86" s="207">
        <f>G86/10.65</f>
        <v>0</v>
      </c>
    </row>
    <row r="87" spans="1:11" x14ac:dyDescent="0.3">
      <c r="A87" s="208" t="s">
        <v>133</v>
      </c>
      <c r="B87" s="136">
        <v>0.36799999999999999</v>
      </c>
      <c r="C87" s="137">
        <f t="shared" si="25"/>
        <v>1.5333333333333332E-2</v>
      </c>
      <c r="D87" s="209">
        <f t="shared" si="26"/>
        <v>3.4553990610328635E-2</v>
      </c>
      <c r="E87" s="139">
        <f t="shared" si="26"/>
        <v>1.4397496087636933E-3</v>
      </c>
      <c r="F87" s="210">
        <v>0</v>
      </c>
      <c r="G87" s="211">
        <f t="shared" si="27"/>
        <v>0</v>
      </c>
      <c r="H87" s="211">
        <f t="shared" si="28"/>
        <v>0</v>
      </c>
      <c r="I87" s="212">
        <f t="shared" si="28"/>
        <v>0</v>
      </c>
    </row>
    <row r="88" spans="1:11" x14ac:dyDescent="0.3">
      <c r="A88" s="213" t="s">
        <v>134</v>
      </c>
      <c r="B88" s="143">
        <v>635.3159999999998</v>
      </c>
      <c r="C88" s="144">
        <f t="shared" si="25"/>
        <v>26.471499999999992</v>
      </c>
      <c r="D88" s="214">
        <f t="shared" si="26"/>
        <v>59.654084507042235</v>
      </c>
      <c r="E88" s="20">
        <f t="shared" si="26"/>
        <v>2.485586854460093</v>
      </c>
      <c r="F88" s="215">
        <v>0</v>
      </c>
      <c r="G88" s="216">
        <f t="shared" si="27"/>
        <v>0</v>
      </c>
      <c r="H88" s="216">
        <f t="shared" si="28"/>
        <v>0</v>
      </c>
      <c r="I88" s="217">
        <f t="shared" si="28"/>
        <v>0</v>
      </c>
    </row>
    <row r="89" spans="1:11" x14ac:dyDescent="0.3">
      <c r="A89" s="213" t="s">
        <v>136</v>
      </c>
      <c r="B89" s="143">
        <v>0</v>
      </c>
      <c r="C89" s="144">
        <f t="shared" si="25"/>
        <v>0</v>
      </c>
      <c r="D89" s="214">
        <f t="shared" si="26"/>
        <v>0</v>
      </c>
      <c r="E89" s="20">
        <f t="shared" si="26"/>
        <v>0</v>
      </c>
      <c r="F89" s="215">
        <v>0</v>
      </c>
      <c r="G89" s="216">
        <f t="shared" si="27"/>
        <v>0</v>
      </c>
      <c r="H89" s="216">
        <f t="shared" si="28"/>
        <v>0</v>
      </c>
      <c r="I89" s="217">
        <f t="shared" si="28"/>
        <v>0</v>
      </c>
    </row>
    <row r="90" spans="1:11" x14ac:dyDescent="0.3">
      <c r="A90" s="213" t="s">
        <v>137</v>
      </c>
      <c r="B90" s="143">
        <v>0</v>
      </c>
      <c r="C90" s="144">
        <f t="shared" si="25"/>
        <v>0</v>
      </c>
      <c r="D90" s="214">
        <f t="shared" si="26"/>
        <v>0</v>
      </c>
      <c r="E90" s="20">
        <f t="shared" si="26"/>
        <v>0</v>
      </c>
      <c r="F90" s="215">
        <v>0</v>
      </c>
      <c r="G90" s="216">
        <f t="shared" si="27"/>
        <v>0</v>
      </c>
      <c r="H90" s="216">
        <f t="shared" si="28"/>
        <v>0</v>
      </c>
      <c r="I90" s="217">
        <f t="shared" si="28"/>
        <v>0</v>
      </c>
    </row>
    <row r="91" spans="1:11" ht="17.25" thickBot="1" x14ac:dyDescent="0.35">
      <c r="A91" s="225" t="s">
        <v>139</v>
      </c>
      <c r="B91" s="184">
        <v>0</v>
      </c>
      <c r="C91" s="185">
        <f t="shared" si="25"/>
        <v>0</v>
      </c>
      <c r="D91" s="226">
        <f t="shared" si="26"/>
        <v>0</v>
      </c>
      <c r="E91" s="21">
        <f t="shared" si="26"/>
        <v>0</v>
      </c>
      <c r="F91" s="227">
        <v>0</v>
      </c>
      <c r="G91" s="228">
        <f t="shared" si="27"/>
        <v>0</v>
      </c>
      <c r="H91" s="228">
        <f t="shared" si="28"/>
        <v>0</v>
      </c>
      <c r="I91" s="229">
        <f t="shared" si="28"/>
        <v>0</v>
      </c>
    </row>
    <row r="92" spans="1:11" ht="17.25" thickBot="1" x14ac:dyDescent="0.3">
      <c r="A92" s="202" t="s">
        <v>19</v>
      </c>
      <c r="B92" s="498"/>
      <c r="C92" s="499"/>
      <c r="D92" s="499"/>
      <c r="E92" s="499"/>
      <c r="F92" s="499"/>
      <c r="G92" s="499"/>
      <c r="H92" s="499"/>
      <c r="I92" s="500"/>
    </row>
    <row r="93" spans="1:11" ht="17.25" thickBot="1" x14ac:dyDescent="0.3">
      <c r="A93" s="203" t="s">
        <v>122</v>
      </c>
      <c r="B93" s="129">
        <f>SUM(B94:B98)</f>
        <v>94825.271000000008</v>
      </c>
      <c r="C93" s="130">
        <f t="shared" ref="C93:C104" si="29">B93/$N$1</f>
        <v>3951.0529583333337</v>
      </c>
      <c r="D93" s="204">
        <f t="shared" ref="D93:E104" si="30">B93/10.65</f>
        <v>8903.7813145539913</v>
      </c>
      <c r="E93" s="132">
        <f t="shared" si="30"/>
        <v>370.99088810641632</v>
      </c>
      <c r="F93" s="224">
        <v>50000</v>
      </c>
      <c r="G93" s="206">
        <f t="shared" ref="G93:G104" si="31">F93/$N$1</f>
        <v>2083.3333333333335</v>
      </c>
      <c r="H93" s="206">
        <f t="shared" ref="H93:I104" si="32">F93/10.65</f>
        <v>4694.8356807511736</v>
      </c>
      <c r="I93" s="207">
        <f t="shared" si="32"/>
        <v>195.61815336463224</v>
      </c>
    </row>
    <row r="94" spans="1:11" x14ac:dyDescent="0.25">
      <c r="A94" s="208" t="s">
        <v>123</v>
      </c>
      <c r="B94" s="136">
        <v>11494.880999999999</v>
      </c>
      <c r="C94" s="137">
        <f t="shared" si="29"/>
        <v>478.95337499999999</v>
      </c>
      <c r="D94" s="209">
        <f t="shared" si="30"/>
        <v>1079.3315492957745</v>
      </c>
      <c r="E94" s="139">
        <f t="shared" si="30"/>
        <v>44.972147887323942</v>
      </c>
      <c r="F94" s="230">
        <f>$F$93*K94</f>
        <v>6061.0852353904684</v>
      </c>
      <c r="G94" s="211">
        <f t="shared" si="31"/>
        <v>252.54521814126952</v>
      </c>
      <c r="H94" s="211">
        <f t="shared" si="32"/>
        <v>569.11598454370596</v>
      </c>
      <c r="I94" s="212">
        <f t="shared" si="32"/>
        <v>23.713166022654413</v>
      </c>
      <c r="K94" s="93">
        <f>B94/$B$93</f>
        <v>0.12122170470780937</v>
      </c>
    </row>
    <row r="95" spans="1:11" x14ac:dyDescent="0.25">
      <c r="A95" s="213" t="s">
        <v>124</v>
      </c>
      <c r="B95" s="143">
        <v>53465.241999999998</v>
      </c>
      <c r="C95" s="144">
        <f t="shared" si="29"/>
        <v>2227.7184166666666</v>
      </c>
      <c r="D95" s="214">
        <f t="shared" si="30"/>
        <v>5020.2105164319246</v>
      </c>
      <c r="E95" s="20">
        <f t="shared" si="30"/>
        <v>209.17543818466353</v>
      </c>
      <c r="F95" s="230">
        <f>$F$93*K95</f>
        <v>28191.452255380318</v>
      </c>
      <c r="G95" s="216">
        <f t="shared" si="31"/>
        <v>1174.6438439741798</v>
      </c>
      <c r="H95" s="216">
        <f t="shared" si="32"/>
        <v>2647.0847188150533</v>
      </c>
      <c r="I95" s="217">
        <f t="shared" si="32"/>
        <v>110.29519661729388</v>
      </c>
      <c r="K95" s="93">
        <f>B95/$B$93</f>
        <v>0.56382904510760634</v>
      </c>
    </row>
    <row r="96" spans="1:11" x14ac:dyDescent="0.25">
      <c r="A96" s="213" t="s">
        <v>126</v>
      </c>
      <c r="B96" s="143">
        <v>0</v>
      </c>
      <c r="C96" s="144">
        <f t="shared" si="29"/>
        <v>0</v>
      </c>
      <c r="D96" s="214">
        <f t="shared" si="30"/>
        <v>0</v>
      </c>
      <c r="E96" s="20">
        <f t="shared" si="30"/>
        <v>0</v>
      </c>
      <c r="F96" s="230">
        <f>$F$93*K96</f>
        <v>0</v>
      </c>
      <c r="G96" s="216">
        <f t="shared" si="31"/>
        <v>0</v>
      </c>
      <c r="H96" s="216">
        <f t="shared" si="32"/>
        <v>0</v>
      </c>
      <c r="I96" s="217">
        <f t="shared" si="32"/>
        <v>0</v>
      </c>
      <c r="K96" s="93">
        <f>B96/$B$93</f>
        <v>0</v>
      </c>
    </row>
    <row r="97" spans="1:11" x14ac:dyDescent="0.25">
      <c r="A97" s="213" t="s">
        <v>128</v>
      </c>
      <c r="B97" s="143">
        <v>0</v>
      </c>
      <c r="C97" s="144">
        <f t="shared" si="29"/>
        <v>0</v>
      </c>
      <c r="D97" s="214">
        <f t="shared" si="30"/>
        <v>0</v>
      </c>
      <c r="E97" s="20">
        <f t="shared" si="30"/>
        <v>0</v>
      </c>
      <c r="F97" s="230">
        <f>$F$93*K97</f>
        <v>0</v>
      </c>
      <c r="G97" s="216">
        <f t="shared" si="31"/>
        <v>0</v>
      </c>
      <c r="H97" s="216">
        <f t="shared" si="32"/>
        <v>0</v>
      </c>
      <c r="I97" s="217">
        <f t="shared" si="32"/>
        <v>0</v>
      </c>
      <c r="K97" s="93">
        <f>B97/$B$93</f>
        <v>0</v>
      </c>
    </row>
    <row r="98" spans="1:11" ht="17.25" thickBot="1" x14ac:dyDescent="0.3">
      <c r="A98" s="218" t="s">
        <v>129</v>
      </c>
      <c r="B98" s="148">
        <v>29865.148000000001</v>
      </c>
      <c r="C98" s="149">
        <f t="shared" si="29"/>
        <v>1244.3811666666668</v>
      </c>
      <c r="D98" s="219">
        <f t="shared" si="30"/>
        <v>2804.2392488262913</v>
      </c>
      <c r="E98" s="151">
        <f t="shared" si="30"/>
        <v>116.8433020344288</v>
      </c>
      <c r="F98" s="230">
        <f>$F$93*K98</f>
        <v>15747.46250922921</v>
      </c>
      <c r="G98" s="221">
        <f t="shared" si="31"/>
        <v>656.14427121788378</v>
      </c>
      <c r="H98" s="221">
        <f t="shared" si="32"/>
        <v>1478.6349773924139</v>
      </c>
      <c r="I98" s="222">
        <f t="shared" si="32"/>
        <v>61.609790724683918</v>
      </c>
      <c r="K98" s="93">
        <f>B98/$B$93</f>
        <v>0.3149492501845842</v>
      </c>
    </row>
    <row r="99" spans="1:11" ht="17.25" thickBot="1" x14ac:dyDescent="0.3">
      <c r="A99" s="223" t="s">
        <v>132</v>
      </c>
      <c r="B99" s="129">
        <f>SUM(B100:B104)</f>
        <v>89583.60500000004</v>
      </c>
      <c r="C99" s="130">
        <f t="shared" si="29"/>
        <v>3732.6502083333348</v>
      </c>
      <c r="D99" s="204">
        <f t="shared" si="30"/>
        <v>8411.606103286389</v>
      </c>
      <c r="E99" s="132">
        <f t="shared" si="30"/>
        <v>350.48358763693284</v>
      </c>
      <c r="F99" s="231">
        <f>SUM(F100:F104)</f>
        <v>9960.4484883143487</v>
      </c>
      <c r="G99" s="232">
        <f t="shared" si="31"/>
        <v>415.01868701309786</v>
      </c>
      <c r="H99" s="232">
        <f t="shared" si="32"/>
        <v>935.25337918444586</v>
      </c>
      <c r="I99" s="233">
        <f t="shared" si="32"/>
        <v>38.968890799351911</v>
      </c>
    </row>
    <row r="100" spans="1:11" x14ac:dyDescent="0.25">
      <c r="A100" s="208" t="s">
        <v>133</v>
      </c>
      <c r="B100" s="136">
        <v>17845.857660000001</v>
      </c>
      <c r="C100" s="137">
        <f t="shared" si="29"/>
        <v>743.57740250000006</v>
      </c>
      <c r="D100" s="209">
        <f t="shared" si="30"/>
        <v>1675.667385915493</v>
      </c>
      <c r="E100" s="139">
        <f t="shared" si="30"/>
        <v>69.819474413145542</v>
      </c>
      <c r="F100" s="234">
        <v>9960.4484883143487</v>
      </c>
      <c r="G100" s="235">
        <f t="shared" si="31"/>
        <v>415.01868701309786</v>
      </c>
      <c r="H100" s="235">
        <f t="shared" si="32"/>
        <v>935.25337918444586</v>
      </c>
      <c r="I100" s="236">
        <f t="shared" si="32"/>
        <v>38.968890799351911</v>
      </c>
      <c r="K100" s="93">
        <f>B100/$B$99</f>
        <v>0.19920896976628696</v>
      </c>
    </row>
    <row r="101" spans="1:11" x14ac:dyDescent="0.25">
      <c r="A101" s="213" t="s">
        <v>134</v>
      </c>
      <c r="B101" s="143">
        <v>71737.747340000031</v>
      </c>
      <c r="C101" s="144">
        <f t="shared" si="29"/>
        <v>2989.0728058333348</v>
      </c>
      <c r="D101" s="214">
        <f t="shared" si="30"/>
        <v>6735.9387173708947</v>
      </c>
      <c r="E101" s="20">
        <f t="shared" si="30"/>
        <v>280.6641132237873</v>
      </c>
      <c r="F101" s="230"/>
      <c r="G101" s="216">
        <f t="shared" si="31"/>
        <v>0</v>
      </c>
      <c r="H101" s="216">
        <f t="shared" si="32"/>
        <v>0</v>
      </c>
      <c r="I101" s="217">
        <f t="shared" si="32"/>
        <v>0</v>
      </c>
      <c r="K101" s="93">
        <f>B101/$B$99</f>
        <v>0.80079103023371301</v>
      </c>
    </row>
    <row r="102" spans="1:11" x14ac:dyDescent="0.25">
      <c r="A102" s="213" t="s">
        <v>136</v>
      </c>
      <c r="B102" s="143">
        <v>0</v>
      </c>
      <c r="C102" s="144">
        <f t="shared" si="29"/>
        <v>0</v>
      </c>
      <c r="D102" s="214">
        <f t="shared" si="30"/>
        <v>0</v>
      </c>
      <c r="E102" s="20">
        <f t="shared" si="30"/>
        <v>0</v>
      </c>
      <c r="F102" s="230">
        <v>0</v>
      </c>
      <c r="G102" s="216">
        <f t="shared" si="31"/>
        <v>0</v>
      </c>
      <c r="H102" s="216">
        <f t="shared" si="32"/>
        <v>0</v>
      </c>
      <c r="I102" s="217">
        <f t="shared" si="32"/>
        <v>0</v>
      </c>
      <c r="K102" s="93">
        <f>B102/$B$99</f>
        <v>0</v>
      </c>
    </row>
    <row r="103" spans="1:11" x14ac:dyDescent="0.25">
      <c r="A103" s="213" t="s">
        <v>137</v>
      </c>
      <c r="B103" s="143">
        <v>0</v>
      </c>
      <c r="C103" s="144">
        <f t="shared" si="29"/>
        <v>0</v>
      </c>
      <c r="D103" s="214">
        <f t="shared" si="30"/>
        <v>0</v>
      </c>
      <c r="E103" s="20">
        <f t="shared" si="30"/>
        <v>0</v>
      </c>
      <c r="F103" s="230">
        <v>0</v>
      </c>
      <c r="G103" s="216">
        <f t="shared" si="31"/>
        <v>0</v>
      </c>
      <c r="H103" s="216">
        <f t="shared" si="32"/>
        <v>0</v>
      </c>
      <c r="I103" s="217">
        <f t="shared" si="32"/>
        <v>0</v>
      </c>
      <c r="K103" s="93">
        <f>B103/$B$99</f>
        <v>0</v>
      </c>
    </row>
    <row r="104" spans="1:11" ht="17.25" thickBot="1" x14ac:dyDescent="0.3">
      <c r="A104" s="225" t="s">
        <v>139</v>
      </c>
      <c r="B104" s="184">
        <v>0</v>
      </c>
      <c r="C104" s="185">
        <f t="shared" si="29"/>
        <v>0</v>
      </c>
      <c r="D104" s="226">
        <f t="shared" si="30"/>
        <v>0</v>
      </c>
      <c r="E104" s="21">
        <f t="shared" si="30"/>
        <v>0</v>
      </c>
      <c r="F104" s="237">
        <v>0</v>
      </c>
      <c r="G104" s="228">
        <f t="shared" si="31"/>
        <v>0</v>
      </c>
      <c r="H104" s="228">
        <f t="shared" si="32"/>
        <v>0</v>
      </c>
      <c r="I104" s="229">
        <f t="shared" si="32"/>
        <v>0</v>
      </c>
      <c r="K104" s="93">
        <f>B104/$B$99</f>
        <v>0</v>
      </c>
    </row>
    <row r="105" spans="1:11" ht="17.25" thickBot="1" x14ac:dyDescent="0.3">
      <c r="A105" s="202" t="s">
        <v>20</v>
      </c>
      <c r="B105" s="498"/>
      <c r="C105" s="499"/>
      <c r="D105" s="499"/>
      <c r="E105" s="499"/>
      <c r="F105" s="499"/>
      <c r="G105" s="499"/>
      <c r="H105" s="499"/>
      <c r="I105" s="500"/>
    </row>
    <row r="106" spans="1:11" ht="17.25" thickBot="1" x14ac:dyDescent="0.3">
      <c r="A106" s="203" t="s">
        <v>122</v>
      </c>
      <c r="B106" s="129">
        <f>SUM(B107:B111)</f>
        <v>175565.54</v>
      </c>
      <c r="C106" s="130">
        <f t="shared" ref="C106:C117" si="33">B106/$N$1</f>
        <v>7315.230833333334</v>
      </c>
      <c r="D106" s="204">
        <f t="shared" ref="D106:E117" si="34">B106/10.65</f>
        <v>16485.027230046948</v>
      </c>
      <c r="E106" s="132">
        <f t="shared" si="34"/>
        <v>686.87613458528961</v>
      </c>
      <c r="F106" s="224">
        <v>120000</v>
      </c>
      <c r="G106" s="206">
        <f t="shared" ref="G106:G117" si="35">F106/$N$1</f>
        <v>5000</v>
      </c>
      <c r="H106" s="206">
        <f t="shared" ref="H106:I117" si="36">F106/10.65</f>
        <v>11267.605633802816</v>
      </c>
      <c r="I106" s="207">
        <f t="shared" si="36"/>
        <v>469.48356807511738</v>
      </c>
    </row>
    <row r="107" spans="1:11" x14ac:dyDescent="0.25">
      <c r="A107" s="208" t="s">
        <v>123</v>
      </c>
      <c r="B107" s="136">
        <v>56726.631999999998</v>
      </c>
      <c r="C107" s="137">
        <f t="shared" si="33"/>
        <v>2363.6096666666667</v>
      </c>
      <c r="D107" s="209">
        <f t="shared" si="34"/>
        <v>5326.4443192488261</v>
      </c>
      <c r="E107" s="139">
        <f t="shared" si="34"/>
        <v>221.93517996870111</v>
      </c>
      <c r="F107" s="230">
        <f>$F$106*K107</f>
        <v>38772.961026406432</v>
      </c>
      <c r="G107" s="211">
        <f t="shared" si="35"/>
        <v>1615.5400427669347</v>
      </c>
      <c r="H107" s="211">
        <f t="shared" si="36"/>
        <v>3640.6536175029514</v>
      </c>
      <c r="I107" s="212">
        <f t="shared" si="36"/>
        <v>151.69390072928962</v>
      </c>
      <c r="K107" s="93">
        <f>B107/$B$106</f>
        <v>0.32310800855338695</v>
      </c>
    </row>
    <row r="108" spans="1:11" x14ac:dyDescent="0.25">
      <c r="A108" s="213" t="s">
        <v>124</v>
      </c>
      <c r="B108" s="143">
        <v>72981.608000000007</v>
      </c>
      <c r="C108" s="144">
        <f t="shared" si="33"/>
        <v>3040.9003333333335</v>
      </c>
      <c r="D108" s="214">
        <f t="shared" si="34"/>
        <v>6852.7331455399062</v>
      </c>
      <c r="E108" s="20">
        <f t="shared" si="34"/>
        <v>285.53054773082943</v>
      </c>
      <c r="F108" s="230">
        <f>$F$106*K108</f>
        <v>49883.325395177213</v>
      </c>
      <c r="G108" s="216">
        <f t="shared" si="35"/>
        <v>2078.4718914657174</v>
      </c>
      <c r="H108" s="216">
        <f t="shared" si="36"/>
        <v>4683.880318795982</v>
      </c>
      <c r="I108" s="217">
        <f t="shared" si="36"/>
        <v>195.1616799498326</v>
      </c>
      <c r="K108" s="93">
        <f>B108/$B$106</f>
        <v>0.41569437829314343</v>
      </c>
    </row>
    <row r="109" spans="1:11" x14ac:dyDescent="0.25">
      <c r="A109" s="213" t="s">
        <v>126</v>
      </c>
      <c r="B109" s="143">
        <v>244</v>
      </c>
      <c r="C109" s="144">
        <f t="shared" si="33"/>
        <v>10.166666666666666</v>
      </c>
      <c r="D109" s="214">
        <f t="shared" si="34"/>
        <v>22.910798122065728</v>
      </c>
      <c r="E109" s="20">
        <f t="shared" si="34"/>
        <v>0.95461658841940522</v>
      </c>
      <c r="F109" s="230">
        <f>$F$106*K109</f>
        <v>166.77532504385542</v>
      </c>
      <c r="G109" s="216">
        <f t="shared" si="35"/>
        <v>6.9489718768273088</v>
      </c>
      <c r="H109" s="216">
        <f t="shared" si="36"/>
        <v>15.659654933695343</v>
      </c>
      <c r="I109" s="217">
        <f t="shared" si="36"/>
        <v>0.652485622237306</v>
      </c>
      <c r="K109" s="93">
        <f>B109/$B$106</f>
        <v>1.3897943753654618E-3</v>
      </c>
    </row>
    <row r="110" spans="1:11" x14ac:dyDescent="0.25">
      <c r="A110" s="213" t="s">
        <v>128</v>
      </c>
      <c r="B110" s="143">
        <v>945</v>
      </c>
      <c r="C110" s="144">
        <f t="shared" si="33"/>
        <v>39.375</v>
      </c>
      <c r="D110" s="214">
        <f t="shared" si="34"/>
        <v>88.732394366197184</v>
      </c>
      <c r="E110" s="20">
        <f t="shared" si="34"/>
        <v>3.697183098591549</v>
      </c>
      <c r="F110" s="230">
        <f>$F$106*K110</f>
        <v>645.91263182968589</v>
      </c>
      <c r="G110" s="216">
        <f t="shared" si="35"/>
        <v>26.913026326236913</v>
      </c>
      <c r="H110" s="216">
        <f t="shared" si="36"/>
        <v>60.649073411238113</v>
      </c>
      <c r="I110" s="217">
        <f t="shared" si="36"/>
        <v>2.5270447254682549</v>
      </c>
      <c r="K110" s="93">
        <f>B110/$B$106</f>
        <v>5.3826052652473826E-3</v>
      </c>
    </row>
    <row r="111" spans="1:11" ht="17.25" thickBot="1" x14ac:dyDescent="0.3">
      <c r="A111" s="218" t="s">
        <v>129</v>
      </c>
      <c r="B111" s="148">
        <v>44668.299999999996</v>
      </c>
      <c r="C111" s="149">
        <f t="shared" si="33"/>
        <v>1861.1791666666666</v>
      </c>
      <c r="D111" s="219">
        <f t="shared" si="34"/>
        <v>4194.2065727699528</v>
      </c>
      <c r="E111" s="151">
        <f t="shared" si="34"/>
        <v>174.75860719874802</v>
      </c>
      <c r="F111" s="230">
        <f>$F$106*K111</f>
        <v>30531.025621542809</v>
      </c>
      <c r="G111" s="221">
        <f t="shared" si="35"/>
        <v>1272.1260675642836</v>
      </c>
      <c r="H111" s="221">
        <f t="shared" si="36"/>
        <v>2866.7629691589491</v>
      </c>
      <c r="I111" s="222">
        <f t="shared" si="36"/>
        <v>119.44845704828954</v>
      </c>
      <c r="K111" s="93">
        <f>B111/$B$106</f>
        <v>0.25442521351285674</v>
      </c>
    </row>
    <row r="112" spans="1:11" ht="17.25" thickBot="1" x14ac:dyDescent="0.3">
      <c r="A112" s="223" t="s">
        <v>132</v>
      </c>
      <c r="B112" s="129">
        <f>SUM(B113:B117)</f>
        <v>145301.52840499993</v>
      </c>
      <c r="C112" s="130">
        <f t="shared" si="33"/>
        <v>6054.2303502083305</v>
      </c>
      <c r="D112" s="204">
        <f t="shared" si="34"/>
        <v>13643.336000469477</v>
      </c>
      <c r="E112" s="132">
        <f t="shared" si="34"/>
        <v>568.47233335289491</v>
      </c>
      <c r="F112" s="231">
        <f>SUM(F113:F117)</f>
        <v>21259.74128000778</v>
      </c>
      <c r="G112" s="232">
        <f t="shared" si="35"/>
        <v>885.82255333365754</v>
      </c>
      <c r="H112" s="232">
        <f t="shared" si="36"/>
        <v>1996.2198384983831</v>
      </c>
      <c r="I112" s="233">
        <f t="shared" si="36"/>
        <v>83.175826604099299</v>
      </c>
    </row>
    <row r="113" spans="1:11" x14ac:dyDescent="0.25">
      <c r="A113" s="208" t="s">
        <v>133</v>
      </c>
      <c r="B113" s="136">
        <v>25742.274179</v>
      </c>
      <c r="C113" s="137">
        <f t="shared" si="33"/>
        <v>1072.5947574583333</v>
      </c>
      <c r="D113" s="209">
        <f t="shared" si="34"/>
        <v>2417.1149463849765</v>
      </c>
      <c r="E113" s="139">
        <f t="shared" si="34"/>
        <v>100.71312276604068</v>
      </c>
      <c r="F113" s="230">
        <v>21259.74128000778</v>
      </c>
      <c r="G113" s="211">
        <f t="shared" si="35"/>
        <v>885.82255333365754</v>
      </c>
      <c r="H113" s="211">
        <f t="shared" si="36"/>
        <v>1996.2198384983831</v>
      </c>
      <c r="I113" s="212">
        <f t="shared" si="36"/>
        <v>83.175826604099299</v>
      </c>
      <c r="K113" s="93">
        <f>B113/$B$112</f>
        <v>0.1771645106667315</v>
      </c>
    </row>
    <row r="114" spans="1:11" x14ac:dyDescent="0.25">
      <c r="A114" s="213" t="s">
        <v>134</v>
      </c>
      <c r="B114" s="143">
        <v>119559.25422599992</v>
      </c>
      <c r="C114" s="144">
        <f t="shared" si="33"/>
        <v>4981.6355927499962</v>
      </c>
      <c r="D114" s="214">
        <f t="shared" si="34"/>
        <v>11226.221054084499</v>
      </c>
      <c r="E114" s="20">
        <f t="shared" si="34"/>
        <v>467.75921058685407</v>
      </c>
      <c r="F114" s="230"/>
      <c r="G114" s="216">
        <f t="shared" si="35"/>
        <v>0</v>
      </c>
      <c r="H114" s="216">
        <f t="shared" si="36"/>
        <v>0</v>
      </c>
      <c r="I114" s="217">
        <f t="shared" si="36"/>
        <v>0</v>
      </c>
      <c r="K114" s="93">
        <f>B114/$B$112</f>
        <v>0.82283548933326844</v>
      </c>
    </row>
    <row r="115" spans="1:11" x14ac:dyDescent="0.25">
      <c r="A115" s="213" t="s">
        <v>136</v>
      </c>
      <c r="B115" s="143"/>
      <c r="C115" s="144">
        <f t="shared" si="33"/>
        <v>0</v>
      </c>
      <c r="D115" s="214">
        <f t="shared" si="34"/>
        <v>0</v>
      </c>
      <c r="E115" s="20">
        <f t="shared" si="34"/>
        <v>0</v>
      </c>
      <c r="F115" s="230">
        <v>0</v>
      </c>
      <c r="G115" s="216">
        <f t="shared" si="35"/>
        <v>0</v>
      </c>
      <c r="H115" s="216">
        <f t="shared" si="36"/>
        <v>0</v>
      </c>
      <c r="I115" s="217">
        <f t="shared" si="36"/>
        <v>0</v>
      </c>
      <c r="K115" s="93">
        <f>B115/$B$112</f>
        <v>0</v>
      </c>
    </row>
    <row r="116" spans="1:11" x14ac:dyDescent="0.25">
      <c r="A116" s="213" t="s">
        <v>137</v>
      </c>
      <c r="B116" s="143"/>
      <c r="C116" s="144">
        <f t="shared" si="33"/>
        <v>0</v>
      </c>
      <c r="D116" s="214">
        <f t="shared" si="34"/>
        <v>0</v>
      </c>
      <c r="E116" s="20">
        <f t="shared" si="34"/>
        <v>0</v>
      </c>
      <c r="F116" s="230">
        <v>0</v>
      </c>
      <c r="G116" s="216">
        <f t="shared" si="35"/>
        <v>0</v>
      </c>
      <c r="H116" s="216">
        <f t="shared" si="36"/>
        <v>0</v>
      </c>
      <c r="I116" s="217">
        <f t="shared" si="36"/>
        <v>0</v>
      </c>
      <c r="K116" s="93">
        <f>B116/$B$112</f>
        <v>0</v>
      </c>
    </row>
    <row r="117" spans="1:11" ht="17.25" thickBot="1" x14ac:dyDescent="0.3">
      <c r="A117" s="225" t="s">
        <v>139</v>
      </c>
      <c r="B117" s="184"/>
      <c r="C117" s="185">
        <f t="shared" si="33"/>
        <v>0</v>
      </c>
      <c r="D117" s="226">
        <f t="shared" si="34"/>
        <v>0</v>
      </c>
      <c r="E117" s="21">
        <f t="shared" si="34"/>
        <v>0</v>
      </c>
      <c r="F117" s="230">
        <v>0</v>
      </c>
      <c r="G117" s="228">
        <f t="shared" si="35"/>
        <v>0</v>
      </c>
      <c r="H117" s="228">
        <f t="shared" si="36"/>
        <v>0</v>
      </c>
      <c r="I117" s="229">
        <f t="shared" si="36"/>
        <v>0</v>
      </c>
      <c r="K117" s="93">
        <f>B117/$B$112</f>
        <v>0</v>
      </c>
    </row>
    <row r="118" spans="1:11" ht="17.25" thickBot="1" x14ac:dyDescent="0.3">
      <c r="A118" s="202" t="s">
        <v>21</v>
      </c>
      <c r="B118" s="498"/>
      <c r="C118" s="499"/>
      <c r="D118" s="499"/>
      <c r="E118" s="499"/>
      <c r="F118" s="499"/>
      <c r="G118" s="499"/>
      <c r="H118" s="499"/>
      <c r="I118" s="500"/>
    </row>
    <row r="119" spans="1:11" ht="17.25" thickBot="1" x14ac:dyDescent="0.3">
      <c r="A119" s="203" t="s">
        <v>122</v>
      </c>
      <c r="B119" s="129">
        <f>SUM(B121:B124)</f>
        <v>116431.534686</v>
      </c>
      <c r="C119" s="130">
        <f t="shared" ref="C119:C130" si="37">B119/$N$1</f>
        <v>4851.31394525</v>
      </c>
      <c r="D119" s="204">
        <f t="shared" ref="D119:E130" si="38">B119/10.65</f>
        <v>10932.538468169014</v>
      </c>
      <c r="E119" s="132">
        <f t="shared" si="38"/>
        <v>455.52243617370891</v>
      </c>
      <c r="F119" s="238">
        <v>120000</v>
      </c>
      <c r="G119" s="206">
        <f t="shared" ref="G119:G130" si="39">F119/$N$1</f>
        <v>5000</v>
      </c>
      <c r="H119" s="206">
        <f t="shared" ref="H119:I130" si="40">F119/10.65</f>
        <v>11267.605633802816</v>
      </c>
      <c r="I119" s="207">
        <f t="shared" si="40"/>
        <v>469.48356807511738</v>
      </c>
    </row>
    <row r="120" spans="1:11" x14ac:dyDescent="0.25">
      <c r="A120" s="208" t="s">
        <v>123</v>
      </c>
      <c r="B120" s="136">
        <v>38560.103999999999</v>
      </c>
      <c r="C120" s="137">
        <f t="shared" si="37"/>
        <v>1606.671</v>
      </c>
      <c r="D120" s="209">
        <f t="shared" si="38"/>
        <v>3620.6670422535208</v>
      </c>
      <c r="E120" s="139">
        <f t="shared" si="38"/>
        <v>150.86112676056337</v>
      </c>
      <c r="F120" s="239">
        <f>$F$119*K120</f>
        <v>39741.917792967019</v>
      </c>
      <c r="G120" s="211">
        <f t="shared" si="39"/>
        <v>1655.9132413736259</v>
      </c>
      <c r="H120" s="211">
        <f t="shared" si="40"/>
        <v>3731.6354735180298</v>
      </c>
      <c r="I120" s="212">
        <f t="shared" si="40"/>
        <v>155.48481139658458</v>
      </c>
      <c r="K120" s="93">
        <f>B120/$B$119</f>
        <v>0.33118264827472516</v>
      </c>
    </row>
    <row r="121" spans="1:11" x14ac:dyDescent="0.25">
      <c r="A121" s="213" t="s">
        <v>124</v>
      </c>
      <c r="B121" s="143">
        <v>42657.368999999999</v>
      </c>
      <c r="C121" s="144">
        <f t="shared" si="37"/>
        <v>1777.3903749999999</v>
      </c>
      <c r="D121" s="214">
        <f t="shared" si="38"/>
        <v>4005.38676056338</v>
      </c>
      <c r="E121" s="20">
        <f t="shared" si="38"/>
        <v>166.89111502347416</v>
      </c>
      <c r="F121" s="239">
        <f>$F$119*K121</f>
        <v>43964.758291685619</v>
      </c>
      <c r="G121" s="216">
        <f t="shared" si="39"/>
        <v>1831.8649288202341</v>
      </c>
      <c r="H121" s="216">
        <f t="shared" si="40"/>
        <v>4128.1463184681334</v>
      </c>
      <c r="I121" s="217">
        <f t="shared" si="40"/>
        <v>172.00609660283888</v>
      </c>
      <c r="K121" s="93">
        <f>B121/$B$119</f>
        <v>0.36637298576404681</v>
      </c>
    </row>
    <row r="122" spans="1:11" x14ac:dyDescent="0.25">
      <c r="A122" s="213" t="s">
        <v>126</v>
      </c>
      <c r="B122" s="143"/>
      <c r="C122" s="144">
        <f t="shared" si="37"/>
        <v>0</v>
      </c>
      <c r="D122" s="214">
        <f t="shared" si="38"/>
        <v>0</v>
      </c>
      <c r="E122" s="20">
        <f t="shared" si="38"/>
        <v>0</v>
      </c>
      <c r="F122" s="239">
        <f>$F$119*K122</f>
        <v>0</v>
      </c>
      <c r="G122" s="216">
        <f t="shared" si="39"/>
        <v>0</v>
      </c>
      <c r="H122" s="216">
        <f t="shared" si="40"/>
        <v>0</v>
      </c>
      <c r="I122" s="217">
        <f t="shared" si="40"/>
        <v>0</v>
      </c>
      <c r="K122" s="93">
        <f>B122/$B$119</f>
        <v>0</v>
      </c>
    </row>
    <row r="123" spans="1:11" x14ac:dyDescent="0.25">
      <c r="A123" s="213" t="s">
        <v>128</v>
      </c>
      <c r="B123" s="143">
        <v>1016</v>
      </c>
      <c r="C123" s="144">
        <f t="shared" si="37"/>
        <v>42.333333333333336</v>
      </c>
      <c r="D123" s="214">
        <f t="shared" si="38"/>
        <v>95.399061032863841</v>
      </c>
      <c r="E123" s="20">
        <f t="shared" si="38"/>
        <v>3.9749608763693272</v>
      </c>
      <c r="F123" s="239">
        <f>$F$119*K123</f>
        <v>1047.1389931327594</v>
      </c>
      <c r="G123" s="216">
        <f t="shared" si="39"/>
        <v>43.63079138053164</v>
      </c>
      <c r="H123" s="216">
        <f t="shared" si="40"/>
        <v>98.322910153310744</v>
      </c>
      <c r="I123" s="217">
        <f t="shared" si="40"/>
        <v>4.096787923054614</v>
      </c>
      <c r="K123" s="93">
        <f>B123/$B$119</f>
        <v>8.7261582761063283E-3</v>
      </c>
    </row>
    <row r="124" spans="1:11" ht="17.25" thickBot="1" x14ac:dyDescent="0.3">
      <c r="A124" s="218" t="s">
        <v>129</v>
      </c>
      <c r="B124" s="148">
        <v>72758.165685999993</v>
      </c>
      <c r="C124" s="149">
        <f t="shared" si="37"/>
        <v>3031.5902369166665</v>
      </c>
      <c r="D124" s="219">
        <f t="shared" si="38"/>
        <v>6831.7526465727688</v>
      </c>
      <c r="E124" s="151">
        <f t="shared" si="38"/>
        <v>284.6563602738654</v>
      </c>
      <c r="F124" s="239">
        <f>$F$119*K124</f>
        <v>74988.102715181609</v>
      </c>
      <c r="G124" s="221">
        <f t="shared" si="39"/>
        <v>3124.5042797992337</v>
      </c>
      <c r="H124" s="221">
        <f t="shared" si="40"/>
        <v>7041.1364051813716</v>
      </c>
      <c r="I124" s="222">
        <f t="shared" si="40"/>
        <v>293.38068354922382</v>
      </c>
      <c r="K124" s="93">
        <f>B124/$B$119</f>
        <v>0.62490085595984679</v>
      </c>
    </row>
    <row r="125" spans="1:11" ht="17.25" thickBot="1" x14ac:dyDescent="0.3">
      <c r="A125" s="223" t="s">
        <v>132</v>
      </c>
      <c r="B125" s="129">
        <f>SUM(B126:B130)</f>
        <v>112452.2803839999</v>
      </c>
      <c r="C125" s="130">
        <f t="shared" si="37"/>
        <v>4685.5116826666626</v>
      </c>
      <c r="D125" s="204">
        <f t="shared" si="38"/>
        <v>10558.89956657276</v>
      </c>
      <c r="E125" s="132">
        <f t="shared" si="38"/>
        <v>439.95414860719836</v>
      </c>
      <c r="F125" s="240">
        <f>SUM(F126:F130)</f>
        <v>13515.319851675025</v>
      </c>
      <c r="G125" s="232">
        <f t="shared" si="39"/>
        <v>563.13832715312606</v>
      </c>
      <c r="H125" s="232">
        <f t="shared" si="40"/>
        <v>1269.0441175281715</v>
      </c>
      <c r="I125" s="233">
        <f t="shared" si="40"/>
        <v>52.876838230340475</v>
      </c>
    </row>
    <row r="126" spans="1:11" x14ac:dyDescent="0.25">
      <c r="A126" s="208" t="s">
        <v>133</v>
      </c>
      <c r="B126" s="136">
        <v>12665.237811999999</v>
      </c>
      <c r="C126" s="137">
        <f t="shared" si="37"/>
        <v>527.71824216666664</v>
      </c>
      <c r="D126" s="209">
        <f t="shared" si="38"/>
        <v>1189.2242076995303</v>
      </c>
      <c r="E126" s="139">
        <f t="shared" si="38"/>
        <v>49.551008654147104</v>
      </c>
      <c r="F126" s="241">
        <v>13515.319851675025</v>
      </c>
      <c r="G126" s="235">
        <f t="shared" si="39"/>
        <v>563.13832715312606</v>
      </c>
      <c r="H126" s="235">
        <f t="shared" si="40"/>
        <v>1269.0441175281715</v>
      </c>
      <c r="I126" s="236">
        <f t="shared" si="40"/>
        <v>52.876838230340475</v>
      </c>
      <c r="K126" s="93">
        <f>B126/$B$125</f>
        <v>0.11262766543062522</v>
      </c>
    </row>
    <row r="127" spans="1:11" x14ac:dyDescent="0.25">
      <c r="A127" s="213" t="s">
        <v>134</v>
      </c>
      <c r="B127" s="143">
        <v>99787.042571999889</v>
      </c>
      <c r="C127" s="144">
        <f t="shared" si="37"/>
        <v>4157.7934404999951</v>
      </c>
      <c r="D127" s="214">
        <f t="shared" si="38"/>
        <v>9369.6753588732281</v>
      </c>
      <c r="E127" s="20">
        <f t="shared" si="38"/>
        <v>390.40313995305115</v>
      </c>
      <c r="F127" s="239"/>
      <c r="G127" s="216">
        <f t="shared" si="39"/>
        <v>0</v>
      </c>
      <c r="H127" s="216">
        <f t="shared" si="40"/>
        <v>0</v>
      </c>
      <c r="I127" s="217">
        <f t="shared" si="40"/>
        <v>0</v>
      </c>
      <c r="K127" s="93">
        <f>B127/$B$125</f>
        <v>0.8873723345693747</v>
      </c>
    </row>
    <row r="128" spans="1:11" x14ac:dyDescent="0.25">
      <c r="A128" s="213" t="s">
        <v>136</v>
      </c>
      <c r="B128" s="143"/>
      <c r="C128" s="144">
        <f t="shared" si="37"/>
        <v>0</v>
      </c>
      <c r="D128" s="214">
        <f t="shared" si="38"/>
        <v>0</v>
      </c>
      <c r="E128" s="20">
        <f t="shared" si="38"/>
        <v>0</v>
      </c>
      <c r="F128" s="239">
        <v>0</v>
      </c>
      <c r="G128" s="216">
        <f t="shared" si="39"/>
        <v>0</v>
      </c>
      <c r="H128" s="216">
        <f t="shared" si="40"/>
        <v>0</v>
      </c>
      <c r="I128" s="217">
        <f t="shared" si="40"/>
        <v>0</v>
      </c>
      <c r="K128" s="93">
        <f>B128/$B$125</f>
        <v>0</v>
      </c>
    </row>
    <row r="129" spans="1:11" x14ac:dyDescent="0.25">
      <c r="A129" s="213" t="s">
        <v>137</v>
      </c>
      <c r="B129" s="143"/>
      <c r="C129" s="144">
        <f t="shared" si="37"/>
        <v>0</v>
      </c>
      <c r="D129" s="214">
        <f t="shared" si="38"/>
        <v>0</v>
      </c>
      <c r="E129" s="20">
        <f t="shared" si="38"/>
        <v>0</v>
      </c>
      <c r="F129" s="239">
        <v>0</v>
      </c>
      <c r="G129" s="216">
        <f t="shared" si="39"/>
        <v>0</v>
      </c>
      <c r="H129" s="216">
        <f t="shared" si="40"/>
        <v>0</v>
      </c>
      <c r="I129" s="217">
        <f t="shared" si="40"/>
        <v>0</v>
      </c>
      <c r="K129" s="93">
        <f>B129/$B$125</f>
        <v>0</v>
      </c>
    </row>
    <row r="130" spans="1:11" ht="17.25" thickBot="1" x14ac:dyDescent="0.3">
      <c r="A130" s="225" t="s">
        <v>139</v>
      </c>
      <c r="B130" s="184"/>
      <c r="C130" s="185">
        <f t="shared" si="37"/>
        <v>0</v>
      </c>
      <c r="D130" s="226">
        <f t="shared" si="38"/>
        <v>0</v>
      </c>
      <c r="E130" s="21">
        <f t="shared" si="38"/>
        <v>0</v>
      </c>
      <c r="F130" s="242">
        <v>0</v>
      </c>
      <c r="G130" s="228">
        <f t="shared" si="39"/>
        <v>0</v>
      </c>
      <c r="H130" s="228">
        <f t="shared" si="40"/>
        <v>0</v>
      </c>
      <c r="I130" s="229">
        <f t="shared" si="40"/>
        <v>0</v>
      </c>
      <c r="K130" s="93">
        <f>B130/$B$125</f>
        <v>0</v>
      </c>
    </row>
    <row r="131" spans="1:11" ht="17.25" thickBot="1" x14ac:dyDescent="0.3">
      <c r="A131" s="202" t="s">
        <v>22</v>
      </c>
      <c r="B131" s="498"/>
      <c r="C131" s="499"/>
      <c r="D131" s="499"/>
      <c r="E131" s="499"/>
      <c r="F131" s="499"/>
      <c r="G131" s="499"/>
      <c r="H131" s="499"/>
      <c r="I131" s="500"/>
    </row>
    <row r="132" spans="1:11" ht="17.25" thickBot="1" x14ac:dyDescent="0.3">
      <c r="A132" s="203" t="s">
        <v>122</v>
      </c>
      <c r="B132" s="129">
        <f>SUM(B133:B137)</f>
        <v>71317.625985999999</v>
      </c>
      <c r="C132" s="130">
        <f t="shared" ref="C132:C143" si="41">B132/$N$1</f>
        <v>2971.5677494166666</v>
      </c>
      <c r="D132" s="204">
        <f t="shared" ref="D132:E143" si="42">B132/10.65</f>
        <v>6696.4907029107981</v>
      </c>
      <c r="E132" s="132">
        <f t="shared" si="42"/>
        <v>279.02044595461655</v>
      </c>
      <c r="F132" s="238">
        <v>80000</v>
      </c>
      <c r="G132" s="206">
        <f t="shared" ref="G132:G143" si="43">F132/$N$1</f>
        <v>3333.3333333333335</v>
      </c>
      <c r="H132" s="206">
        <f t="shared" ref="H132:I143" si="44">F132/10.65</f>
        <v>7511.737089201878</v>
      </c>
      <c r="I132" s="207">
        <f t="shared" si="44"/>
        <v>312.98904538341156</v>
      </c>
    </row>
    <row r="133" spans="1:11" x14ac:dyDescent="0.25">
      <c r="A133" s="208" t="s">
        <v>123</v>
      </c>
      <c r="B133" s="136">
        <v>9552.6958200000008</v>
      </c>
      <c r="C133" s="137">
        <f t="shared" si="41"/>
        <v>398.02899250000002</v>
      </c>
      <c r="D133" s="209">
        <f t="shared" si="42"/>
        <v>896.96674366197192</v>
      </c>
      <c r="E133" s="139">
        <f t="shared" si="42"/>
        <v>37.37361431924883</v>
      </c>
      <c r="F133" s="239">
        <f>$F$132*K133</f>
        <v>10715.663274462044</v>
      </c>
      <c r="G133" s="211">
        <f t="shared" si="43"/>
        <v>446.48596976925182</v>
      </c>
      <c r="H133" s="211">
        <f t="shared" si="44"/>
        <v>1006.1655656771871</v>
      </c>
      <c r="I133" s="212">
        <f t="shared" si="44"/>
        <v>41.923565236549464</v>
      </c>
      <c r="K133" s="93">
        <f>B133/$B$132</f>
        <v>0.13394579093077555</v>
      </c>
    </row>
    <row r="134" spans="1:11" x14ac:dyDescent="0.25">
      <c r="A134" s="213" t="s">
        <v>124</v>
      </c>
      <c r="B134" s="143">
        <v>8892.3919999999998</v>
      </c>
      <c r="C134" s="144">
        <f t="shared" si="41"/>
        <v>370.51633333333331</v>
      </c>
      <c r="D134" s="214">
        <f t="shared" si="42"/>
        <v>834.96638497652577</v>
      </c>
      <c r="E134" s="20">
        <f t="shared" si="42"/>
        <v>34.790266040688572</v>
      </c>
      <c r="F134" s="239">
        <f>$F$132*K134</f>
        <v>9974.9725283851931</v>
      </c>
      <c r="G134" s="216">
        <f t="shared" si="43"/>
        <v>415.62385534938306</v>
      </c>
      <c r="H134" s="216">
        <f t="shared" si="44"/>
        <v>936.61713881551111</v>
      </c>
      <c r="I134" s="217">
        <f t="shared" si="44"/>
        <v>39.025714117312965</v>
      </c>
      <c r="K134" s="93">
        <f>B134/$B$132</f>
        <v>0.12468715660481491</v>
      </c>
    </row>
    <row r="135" spans="1:11" x14ac:dyDescent="0.25">
      <c r="A135" s="213" t="s">
        <v>126</v>
      </c>
      <c r="B135" s="143"/>
      <c r="C135" s="144">
        <f t="shared" si="41"/>
        <v>0</v>
      </c>
      <c r="D135" s="214">
        <f t="shared" si="42"/>
        <v>0</v>
      </c>
      <c r="E135" s="20">
        <f t="shared" si="42"/>
        <v>0</v>
      </c>
      <c r="F135" s="239">
        <f>$F$132*K135</f>
        <v>0</v>
      </c>
      <c r="G135" s="216">
        <f t="shared" si="43"/>
        <v>0</v>
      </c>
      <c r="H135" s="216">
        <f t="shared" si="44"/>
        <v>0</v>
      </c>
      <c r="I135" s="217">
        <f t="shared" si="44"/>
        <v>0</v>
      </c>
      <c r="K135" s="93">
        <f>B135/$B$132</f>
        <v>0</v>
      </c>
    </row>
    <row r="136" spans="1:11" x14ac:dyDescent="0.25">
      <c r="A136" s="213" t="s">
        <v>128</v>
      </c>
      <c r="B136" s="143">
        <v>1</v>
      </c>
      <c r="C136" s="144">
        <f t="shared" si="41"/>
        <v>4.1666666666666664E-2</v>
      </c>
      <c r="D136" s="214">
        <f t="shared" si="42"/>
        <v>9.3896713615023469E-2</v>
      </c>
      <c r="E136" s="20">
        <f t="shared" si="42"/>
        <v>3.912363067292644E-3</v>
      </c>
      <c r="F136" s="239">
        <f>$F$132*K136</f>
        <v>1.1217423307907697</v>
      </c>
      <c r="G136" s="216">
        <f t="shared" si="43"/>
        <v>4.6739263782948737E-2</v>
      </c>
      <c r="H136" s="216">
        <f t="shared" si="44"/>
        <v>0.10532791838410982</v>
      </c>
      <c r="I136" s="217">
        <f t="shared" si="44"/>
        <v>4.3886632660045761E-3</v>
      </c>
      <c r="K136" s="93">
        <f>B136/$B$132</f>
        <v>1.4021779134884621E-5</v>
      </c>
    </row>
    <row r="137" spans="1:11" ht="17.25" thickBot="1" x14ac:dyDescent="0.3">
      <c r="A137" s="218" t="s">
        <v>129</v>
      </c>
      <c r="B137" s="148">
        <v>52871.538165999998</v>
      </c>
      <c r="C137" s="149">
        <f t="shared" si="41"/>
        <v>2202.9807569166665</v>
      </c>
      <c r="D137" s="219">
        <f t="shared" si="42"/>
        <v>4964.463677558685</v>
      </c>
      <c r="E137" s="151">
        <f t="shared" si="42"/>
        <v>206.85265323161187</v>
      </c>
      <c r="F137" s="239">
        <f>$F$132*K137</f>
        <v>59308.242454821979</v>
      </c>
      <c r="G137" s="221">
        <f t="shared" si="43"/>
        <v>2471.1767689509156</v>
      </c>
      <c r="H137" s="221">
        <f t="shared" si="44"/>
        <v>5568.8490567907957</v>
      </c>
      <c r="I137" s="222">
        <f t="shared" si="44"/>
        <v>232.03537736628314</v>
      </c>
      <c r="K137" s="93">
        <f>B137/$B$132</f>
        <v>0.74135303068527469</v>
      </c>
    </row>
    <row r="138" spans="1:11" ht="17.25" thickBot="1" x14ac:dyDescent="0.3">
      <c r="A138" s="223" t="s">
        <v>132</v>
      </c>
      <c r="B138" s="129">
        <f>SUM(B139:B143)</f>
        <v>73527.868286000143</v>
      </c>
      <c r="C138" s="130">
        <f t="shared" si="41"/>
        <v>3063.6611785833393</v>
      </c>
      <c r="D138" s="204">
        <f t="shared" si="42"/>
        <v>6904.0251911737223</v>
      </c>
      <c r="E138" s="132">
        <f t="shared" si="42"/>
        <v>287.66771629890508</v>
      </c>
      <c r="F138" s="240">
        <f>SUM(F139:F143)</f>
        <v>556.53755445255376</v>
      </c>
      <c r="G138" s="232">
        <f t="shared" si="43"/>
        <v>23.189064768856408</v>
      </c>
      <c r="H138" s="232">
        <f t="shared" si="44"/>
        <v>52.257047366436971</v>
      </c>
      <c r="I138" s="233">
        <f t="shared" si="44"/>
        <v>2.1773769736015405</v>
      </c>
    </row>
    <row r="139" spans="1:11" x14ac:dyDescent="0.25">
      <c r="A139" s="208" t="s">
        <v>133</v>
      </c>
      <c r="B139" s="136">
        <v>454.67800000000005</v>
      </c>
      <c r="C139" s="137">
        <f t="shared" si="41"/>
        <v>18.944916666666668</v>
      </c>
      <c r="D139" s="209">
        <f t="shared" si="42"/>
        <v>42.692769953051645</v>
      </c>
      <c r="E139" s="139">
        <f t="shared" si="42"/>
        <v>1.7788654147104852</v>
      </c>
      <c r="F139" s="239">
        <v>556.53755445255376</v>
      </c>
      <c r="G139" s="211">
        <f t="shared" si="43"/>
        <v>23.189064768856408</v>
      </c>
      <c r="H139" s="211">
        <f t="shared" si="44"/>
        <v>52.257047366436971</v>
      </c>
      <c r="I139" s="212">
        <f t="shared" si="44"/>
        <v>2.1773769736015405</v>
      </c>
      <c r="K139" s="93">
        <f>B139/$B$138</f>
        <v>6.1837506050283755E-3</v>
      </c>
    </row>
    <row r="140" spans="1:11" x14ac:dyDescent="0.25">
      <c r="A140" s="213" t="s">
        <v>134</v>
      </c>
      <c r="B140" s="143">
        <v>73073.190286000143</v>
      </c>
      <c r="C140" s="144">
        <f t="shared" si="41"/>
        <v>3044.7162619166725</v>
      </c>
      <c r="D140" s="214">
        <f t="shared" si="42"/>
        <v>6861.3324212206708</v>
      </c>
      <c r="E140" s="20">
        <f t="shared" si="42"/>
        <v>285.8888508841946</v>
      </c>
      <c r="F140" s="239"/>
      <c r="G140" s="216">
        <f t="shared" si="43"/>
        <v>0</v>
      </c>
      <c r="H140" s="216">
        <f t="shared" si="44"/>
        <v>0</v>
      </c>
      <c r="I140" s="217">
        <f t="shared" si="44"/>
        <v>0</v>
      </c>
      <c r="K140" s="93">
        <f>B140/$B$138</f>
        <v>0.9938162493949716</v>
      </c>
    </row>
    <row r="141" spans="1:11" x14ac:dyDescent="0.25">
      <c r="A141" s="213" t="s">
        <v>136</v>
      </c>
      <c r="B141" s="143"/>
      <c r="C141" s="144">
        <f t="shared" si="41"/>
        <v>0</v>
      </c>
      <c r="D141" s="214">
        <f t="shared" si="42"/>
        <v>0</v>
      </c>
      <c r="E141" s="20">
        <f t="shared" si="42"/>
        <v>0</v>
      </c>
      <c r="F141" s="239">
        <v>0</v>
      </c>
      <c r="G141" s="216">
        <f t="shared" si="43"/>
        <v>0</v>
      </c>
      <c r="H141" s="216">
        <f t="shared" si="44"/>
        <v>0</v>
      </c>
      <c r="I141" s="217">
        <f t="shared" si="44"/>
        <v>0</v>
      </c>
      <c r="K141" s="93">
        <f>B141/$B$138</f>
        <v>0</v>
      </c>
    </row>
    <row r="142" spans="1:11" x14ac:dyDescent="0.25">
      <c r="A142" s="213" t="s">
        <v>137</v>
      </c>
      <c r="B142" s="143"/>
      <c r="C142" s="144">
        <f t="shared" si="41"/>
        <v>0</v>
      </c>
      <c r="D142" s="214">
        <f t="shared" si="42"/>
        <v>0</v>
      </c>
      <c r="E142" s="20">
        <f t="shared" si="42"/>
        <v>0</v>
      </c>
      <c r="F142" s="239">
        <v>0</v>
      </c>
      <c r="G142" s="216">
        <f t="shared" si="43"/>
        <v>0</v>
      </c>
      <c r="H142" s="216">
        <f t="shared" si="44"/>
        <v>0</v>
      </c>
      <c r="I142" s="217">
        <f t="shared" si="44"/>
        <v>0</v>
      </c>
      <c r="K142" s="93">
        <f>B142/$B$138</f>
        <v>0</v>
      </c>
    </row>
    <row r="143" spans="1:11" ht="17.25" thickBot="1" x14ac:dyDescent="0.3">
      <c r="A143" s="225" t="s">
        <v>139</v>
      </c>
      <c r="B143" s="184"/>
      <c r="C143" s="185">
        <f t="shared" si="41"/>
        <v>0</v>
      </c>
      <c r="D143" s="226">
        <f t="shared" si="42"/>
        <v>0</v>
      </c>
      <c r="E143" s="21">
        <f t="shared" si="42"/>
        <v>0</v>
      </c>
      <c r="F143" s="239">
        <v>0</v>
      </c>
      <c r="G143" s="228">
        <f t="shared" si="43"/>
        <v>0</v>
      </c>
      <c r="H143" s="228">
        <f t="shared" si="44"/>
        <v>0</v>
      </c>
      <c r="I143" s="229">
        <f t="shared" si="44"/>
        <v>0</v>
      </c>
      <c r="K143" s="93">
        <f>B143/$B$138</f>
        <v>0</v>
      </c>
    </row>
    <row r="144" spans="1:11" ht="15" customHeight="1" thickBot="1" x14ac:dyDescent="0.3">
      <c r="A144" s="202" t="s">
        <v>23</v>
      </c>
      <c r="B144" s="501"/>
      <c r="C144" s="502"/>
      <c r="D144" s="502"/>
      <c r="E144" s="502"/>
      <c r="F144" s="502"/>
      <c r="G144" s="502"/>
      <c r="H144" s="502"/>
      <c r="I144" s="503"/>
    </row>
    <row r="145" spans="1:9" ht="17.25" thickBot="1" x14ac:dyDescent="0.3">
      <c r="A145" s="203" t="s">
        <v>122</v>
      </c>
      <c r="B145" s="238">
        <v>1000</v>
      </c>
      <c r="C145" s="243">
        <f t="shared" ref="C145:C156" si="45">B145/$N$1</f>
        <v>41.666666666666664</v>
      </c>
      <c r="D145" s="244">
        <f t="shared" ref="D145:E156" si="46">B145/10.65</f>
        <v>93.896713615023472</v>
      </c>
      <c r="E145" s="207">
        <f t="shared" si="46"/>
        <v>3.9123630672926444</v>
      </c>
      <c r="F145" s="238">
        <v>1000</v>
      </c>
      <c r="G145" s="206">
        <f t="shared" ref="G145:G156" si="47">F145/$N$1</f>
        <v>41.666666666666664</v>
      </c>
      <c r="H145" s="206">
        <f t="shared" ref="H145:I156" si="48">F145/10.65</f>
        <v>93.896713615023472</v>
      </c>
      <c r="I145" s="207">
        <f t="shared" si="48"/>
        <v>3.9123630672926444</v>
      </c>
    </row>
    <row r="146" spans="1:9" x14ac:dyDescent="0.25">
      <c r="A146" s="208" t="s">
        <v>123</v>
      </c>
      <c r="B146" s="245"/>
      <c r="C146" s="246">
        <f t="shared" si="45"/>
        <v>0</v>
      </c>
      <c r="D146" s="247">
        <f t="shared" si="46"/>
        <v>0</v>
      </c>
      <c r="E146" s="212">
        <f t="shared" si="46"/>
        <v>0</v>
      </c>
      <c r="F146" s="239"/>
      <c r="G146" s="211">
        <f t="shared" si="47"/>
        <v>0</v>
      </c>
      <c r="H146" s="211">
        <f t="shared" si="48"/>
        <v>0</v>
      </c>
      <c r="I146" s="212">
        <f t="shared" si="48"/>
        <v>0</v>
      </c>
    </row>
    <row r="147" spans="1:9" x14ac:dyDescent="0.25">
      <c r="A147" s="213" t="s">
        <v>124</v>
      </c>
      <c r="B147" s="248"/>
      <c r="C147" s="249">
        <f t="shared" si="45"/>
        <v>0</v>
      </c>
      <c r="D147" s="250">
        <f t="shared" si="46"/>
        <v>0</v>
      </c>
      <c r="E147" s="217">
        <f t="shared" si="46"/>
        <v>0</v>
      </c>
      <c r="F147" s="251"/>
      <c r="G147" s="216">
        <f t="shared" si="47"/>
        <v>0</v>
      </c>
      <c r="H147" s="216">
        <f t="shared" si="48"/>
        <v>0</v>
      </c>
      <c r="I147" s="217">
        <f t="shared" si="48"/>
        <v>0</v>
      </c>
    </row>
    <row r="148" spans="1:9" x14ac:dyDescent="0.25">
      <c r="A148" s="213" t="s">
        <v>126</v>
      </c>
      <c r="B148" s="248"/>
      <c r="C148" s="249">
        <f t="shared" si="45"/>
        <v>0</v>
      </c>
      <c r="D148" s="250">
        <f t="shared" si="46"/>
        <v>0</v>
      </c>
      <c r="E148" s="217">
        <f t="shared" si="46"/>
        <v>0</v>
      </c>
      <c r="F148" s="251"/>
      <c r="G148" s="216">
        <f t="shared" si="47"/>
        <v>0</v>
      </c>
      <c r="H148" s="216">
        <f t="shared" si="48"/>
        <v>0</v>
      </c>
      <c r="I148" s="217">
        <f t="shared" si="48"/>
        <v>0</v>
      </c>
    </row>
    <row r="149" spans="1:9" x14ac:dyDescent="0.25">
      <c r="A149" s="213" t="s">
        <v>128</v>
      </c>
      <c r="B149" s="248"/>
      <c r="C149" s="249">
        <f t="shared" si="45"/>
        <v>0</v>
      </c>
      <c r="D149" s="250">
        <f t="shared" si="46"/>
        <v>0</v>
      </c>
      <c r="E149" s="217">
        <f t="shared" si="46"/>
        <v>0</v>
      </c>
      <c r="F149" s="251"/>
      <c r="G149" s="216">
        <f t="shared" si="47"/>
        <v>0</v>
      </c>
      <c r="H149" s="216">
        <f t="shared" si="48"/>
        <v>0</v>
      </c>
      <c r="I149" s="217">
        <f t="shared" si="48"/>
        <v>0</v>
      </c>
    </row>
    <row r="150" spans="1:9" ht="17.25" thickBot="1" x14ac:dyDescent="0.3">
      <c r="A150" s="218" t="s">
        <v>129</v>
      </c>
      <c r="B150" s="252">
        <v>1000</v>
      </c>
      <c r="C150" s="253">
        <f t="shared" si="45"/>
        <v>41.666666666666664</v>
      </c>
      <c r="D150" s="254">
        <f t="shared" si="46"/>
        <v>93.896713615023472</v>
      </c>
      <c r="E150" s="222">
        <f t="shared" si="46"/>
        <v>3.9123630672926444</v>
      </c>
      <c r="F150" s="255">
        <v>1000</v>
      </c>
      <c r="G150" s="221">
        <f t="shared" si="47"/>
        <v>41.666666666666664</v>
      </c>
      <c r="H150" s="221">
        <f t="shared" si="48"/>
        <v>93.896713615023472</v>
      </c>
      <c r="I150" s="222">
        <f t="shared" si="48"/>
        <v>3.9123630672926444</v>
      </c>
    </row>
    <row r="151" spans="1:9" ht="17.25" thickBot="1" x14ac:dyDescent="0.3">
      <c r="A151" s="223" t="s">
        <v>132</v>
      </c>
      <c r="B151" s="240">
        <v>1000</v>
      </c>
      <c r="C151" s="256">
        <f t="shared" si="45"/>
        <v>41.666666666666664</v>
      </c>
      <c r="D151" s="257">
        <f t="shared" si="46"/>
        <v>93.896713615023472</v>
      </c>
      <c r="E151" s="233">
        <f t="shared" si="46"/>
        <v>3.9123630672926444</v>
      </c>
      <c r="F151" s="240">
        <v>0</v>
      </c>
      <c r="G151" s="232">
        <f t="shared" si="47"/>
        <v>0</v>
      </c>
      <c r="H151" s="232">
        <f t="shared" si="48"/>
        <v>0</v>
      </c>
      <c r="I151" s="233">
        <f t="shared" si="48"/>
        <v>0</v>
      </c>
    </row>
    <row r="152" spans="1:9" x14ac:dyDescent="0.25">
      <c r="A152" s="208" t="s">
        <v>133</v>
      </c>
      <c r="B152" s="245"/>
      <c r="C152" s="246">
        <f t="shared" si="45"/>
        <v>0</v>
      </c>
      <c r="D152" s="247">
        <f t="shared" si="46"/>
        <v>0</v>
      </c>
      <c r="E152" s="212">
        <f t="shared" si="46"/>
        <v>0</v>
      </c>
      <c r="F152" s="239"/>
      <c r="G152" s="211">
        <f t="shared" si="47"/>
        <v>0</v>
      </c>
      <c r="H152" s="211">
        <f t="shared" si="48"/>
        <v>0</v>
      </c>
      <c r="I152" s="212">
        <f t="shared" si="48"/>
        <v>0</v>
      </c>
    </row>
    <row r="153" spans="1:9" x14ac:dyDescent="0.25">
      <c r="A153" s="213" t="s">
        <v>134</v>
      </c>
      <c r="B153" s="248">
        <v>1000</v>
      </c>
      <c r="C153" s="249">
        <f t="shared" si="45"/>
        <v>41.666666666666664</v>
      </c>
      <c r="D153" s="250">
        <f t="shared" si="46"/>
        <v>93.896713615023472</v>
      </c>
      <c r="E153" s="217">
        <f t="shared" si="46"/>
        <v>3.9123630672926444</v>
      </c>
      <c r="F153" s="251">
        <v>0</v>
      </c>
      <c r="G153" s="216">
        <f t="shared" si="47"/>
        <v>0</v>
      </c>
      <c r="H153" s="216">
        <f t="shared" si="48"/>
        <v>0</v>
      </c>
      <c r="I153" s="217">
        <f t="shared" si="48"/>
        <v>0</v>
      </c>
    </row>
    <row r="154" spans="1:9" x14ac:dyDescent="0.25">
      <c r="A154" s="213" t="s">
        <v>136</v>
      </c>
      <c r="B154" s="248"/>
      <c r="C154" s="249">
        <f t="shared" si="45"/>
        <v>0</v>
      </c>
      <c r="D154" s="250">
        <f t="shared" si="46"/>
        <v>0</v>
      </c>
      <c r="E154" s="217">
        <f t="shared" si="46"/>
        <v>0</v>
      </c>
      <c r="F154" s="251"/>
      <c r="G154" s="216">
        <f t="shared" si="47"/>
        <v>0</v>
      </c>
      <c r="H154" s="216">
        <f t="shared" si="48"/>
        <v>0</v>
      </c>
      <c r="I154" s="217">
        <f t="shared" si="48"/>
        <v>0</v>
      </c>
    </row>
    <row r="155" spans="1:9" x14ac:dyDescent="0.25">
      <c r="A155" s="213" t="s">
        <v>137</v>
      </c>
      <c r="B155" s="248"/>
      <c r="C155" s="249">
        <f t="shared" si="45"/>
        <v>0</v>
      </c>
      <c r="D155" s="250">
        <f t="shared" si="46"/>
        <v>0</v>
      </c>
      <c r="E155" s="217">
        <f t="shared" si="46"/>
        <v>0</v>
      </c>
      <c r="F155" s="251"/>
      <c r="G155" s="216">
        <f t="shared" si="47"/>
        <v>0</v>
      </c>
      <c r="H155" s="216">
        <f t="shared" si="48"/>
        <v>0</v>
      </c>
      <c r="I155" s="217">
        <f t="shared" si="48"/>
        <v>0</v>
      </c>
    </row>
    <row r="156" spans="1:9" ht="17.25" thickBot="1" x14ac:dyDescent="0.3">
      <c r="A156" s="225" t="s">
        <v>139</v>
      </c>
      <c r="B156" s="258"/>
      <c r="C156" s="259">
        <f t="shared" si="45"/>
        <v>0</v>
      </c>
      <c r="D156" s="260">
        <f t="shared" si="46"/>
        <v>0</v>
      </c>
      <c r="E156" s="229">
        <f t="shared" si="46"/>
        <v>0</v>
      </c>
      <c r="F156" s="261"/>
      <c r="G156" s="228">
        <f t="shared" si="47"/>
        <v>0</v>
      </c>
      <c r="H156" s="228">
        <f t="shared" si="48"/>
        <v>0</v>
      </c>
      <c r="I156" s="229">
        <f t="shared" si="48"/>
        <v>0</v>
      </c>
    </row>
    <row r="157" spans="1:9" ht="17.25" thickBot="1" x14ac:dyDescent="0.3">
      <c r="A157" s="202" t="s">
        <v>24</v>
      </c>
      <c r="B157" s="504"/>
      <c r="C157" s="505"/>
      <c r="D157" s="505"/>
      <c r="E157" s="505"/>
      <c r="F157" s="505"/>
      <c r="G157" s="505"/>
      <c r="H157" s="505"/>
      <c r="I157" s="506"/>
    </row>
    <row r="158" spans="1:9" ht="17.25" thickBot="1" x14ac:dyDescent="0.3">
      <c r="A158" s="203" t="s">
        <v>122</v>
      </c>
      <c r="B158" s="238">
        <v>1000</v>
      </c>
      <c r="C158" s="243">
        <f t="shared" ref="C158:C169" si="49">B158/$N$1</f>
        <v>41.666666666666664</v>
      </c>
      <c r="D158" s="244">
        <f t="shared" ref="D158:E169" si="50">B158/10.65</f>
        <v>93.896713615023472</v>
      </c>
      <c r="E158" s="207">
        <f t="shared" si="50"/>
        <v>3.9123630672926444</v>
      </c>
      <c r="F158" s="238">
        <v>1000</v>
      </c>
      <c r="G158" s="206">
        <f t="shared" ref="G158:G169" si="51">F158/$N$1</f>
        <v>41.666666666666664</v>
      </c>
      <c r="H158" s="206">
        <f t="shared" ref="H158:I169" si="52">F158/10.65</f>
        <v>93.896713615023472</v>
      </c>
      <c r="I158" s="207">
        <f t="shared" si="52"/>
        <v>3.9123630672926444</v>
      </c>
    </row>
    <row r="159" spans="1:9" x14ac:dyDescent="0.25">
      <c r="A159" s="213" t="s">
        <v>124</v>
      </c>
      <c r="B159" s="248"/>
      <c r="C159" s="249">
        <f t="shared" si="49"/>
        <v>0</v>
      </c>
      <c r="D159" s="250">
        <f t="shared" si="50"/>
        <v>0</v>
      </c>
      <c r="E159" s="217">
        <f t="shared" si="50"/>
        <v>0</v>
      </c>
      <c r="F159" s="251"/>
      <c r="G159" s="216">
        <f t="shared" si="51"/>
        <v>0</v>
      </c>
      <c r="H159" s="216">
        <f t="shared" si="52"/>
        <v>0</v>
      </c>
      <c r="I159" s="217">
        <f t="shared" si="52"/>
        <v>0</v>
      </c>
    </row>
    <row r="160" spans="1:9" x14ac:dyDescent="0.25">
      <c r="A160" s="213" t="s">
        <v>126</v>
      </c>
      <c r="B160" s="248"/>
      <c r="C160" s="249">
        <f t="shared" si="49"/>
        <v>0</v>
      </c>
      <c r="D160" s="250">
        <f t="shared" si="50"/>
        <v>0</v>
      </c>
      <c r="E160" s="217">
        <f t="shared" si="50"/>
        <v>0</v>
      </c>
      <c r="F160" s="251"/>
      <c r="G160" s="216">
        <f t="shared" si="51"/>
        <v>0</v>
      </c>
      <c r="H160" s="216">
        <f t="shared" si="52"/>
        <v>0</v>
      </c>
      <c r="I160" s="217">
        <f t="shared" si="52"/>
        <v>0</v>
      </c>
    </row>
    <row r="161" spans="1:9" x14ac:dyDescent="0.25">
      <c r="A161" s="213" t="s">
        <v>128</v>
      </c>
      <c r="B161" s="248"/>
      <c r="C161" s="249">
        <f t="shared" si="49"/>
        <v>0</v>
      </c>
      <c r="D161" s="250">
        <f t="shared" si="50"/>
        <v>0</v>
      </c>
      <c r="E161" s="217">
        <f t="shared" si="50"/>
        <v>0</v>
      </c>
      <c r="F161" s="251"/>
      <c r="G161" s="216">
        <f t="shared" si="51"/>
        <v>0</v>
      </c>
      <c r="H161" s="216">
        <f t="shared" si="52"/>
        <v>0</v>
      </c>
      <c r="I161" s="217">
        <f t="shared" si="52"/>
        <v>0</v>
      </c>
    </row>
    <row r="162" spans="1:9" ht="17.25" thickBot="1" x14ac:dyDescent="0.3">
      <c r="A162" s="218" t="s">
        <v>129</v>
      </c>
      <c r="B162" s="252">
        <v>1000</v>
      </c>
      <c r="C162" s="253">
        <f t="shared" si="49"/>
        <v>41.666666666666664</v>
      </c>
      <c r="D162" s="254">
        <f t="shared" si="50"/>
        <v>93.896713615023472</v>
      </c>
      <c r="E162" s="222">
        <f t="shared" si="50"/>
        <v>3.9123630672926444</v>
      </c>
      <c r="F162" s="255">
        <v>1000</v>
      </c>
      <c r="G162" s="221">
        <f t="shared" si="51"/>
        <v>41.666666666666664</v>
      </c>
      <c r="H162" s="221">
        <f t="shared" si="52"/>
        <v>93.896713615023472</v>
      </c>
      <c r="I162" s="222">
        <f t="shared" si="52"/>
        <v>3.9123630672926444</v>
      </c>
    </row>
    <row r="163" spans="1:9" ht="17.25" thickBot="1" x14ac:dyDescent="0.3">
      <c r="A163" s="223" t="s">
        <v>132</v>
      </c>
      <c r="B163" s="240">
        <v>1000</v>
      </c>
      <c r="C163" s="256">
        <f t="shared" si="49"/>
        <v>41.666666666666664</v>
      </c>
      <c r="D163" s="257">
        <f t="shared" si="50"/>
        <v>93.896713615023472</v>
      </c>
      <c r="E163" s="233">
        <f t="shared" si="50"/>
        <v>3.9123630672926444</v>
      </c>
      <c r="F163" s="240">
        <v>0</v>
      </c>
      <c r="G163" s="232">
        <f t="shared" si="51"/>
        <v>0</v>
      </c>
      <c r="H163" s="232">
        <f t="shared" si="52"/>
        <v>0</v>
      </c>
      <c r="I163" s="233">
        <f t="shared" si="52"/>
        <v>0</v>
      </c>
    </row>
    <row r="164" spans="1:9" x14ac:dyDescent="0.25">
      <c r="A164" s="208" t="s">
        <v>133</v>
      </c>
      <c r="B164" s="245"/>
      <c r="C164" s="246">
        <f t="shared" si="49"/>
        <v>0</v>
      </c>
      <c r="D164" s="247">
        <f t="shared" si="50"/>
        <v>0</v>
      </c>
      <c r="E164" s="212">
        <f t="shared" si="50"/>
        <v>0</v>
      </c>
      <c r="F164" s="239"/>
      <c r="G164" s="211">
        <f t="shared" si="51"/>
        <v>0</v>
      </c>
      <c r="H164" s="211">
        <f t="shared" si="52"/>
        <v>0</v>
      </c>
      <c r="I164" s="212">
        <f t="shared" si="52"/>
        <v>0</v>
      </c>
    </row>
    <row r="165" spans="1:9" x14ac:dyDescent="0.25">
      <c r="A165" s="213" t="s">
        <v>134</v>
      </c>
      <c r="B165" s="248">
        <v>0</v>
      </c>
      <c r="C165" s="249">
        <f t="shared" si="49"/>
        <v>0</v>
      </c>
      <c r="D165" s="250">
        <f t="shared" si="50"/>
        <v>0</v>
      </c>
      <c r="E165" s="217">
        <f t="shared" si="50"/>
        <v>0</v>
      </c>
      <c r="F165" s="251">
        <v>0</v>
      </c>
      <c r="G165" s="216">
        <f t="shared" si="51"/>
        <v>0</v>
      </c>
      <c r="H165" s="216">
        <f t="shared" si="52"/>
        <v>0</v>
      </c>
      <c r="I165" s="217">
        <f t="shared" si="52"/>
        <v>0</v>
      </c>
    </row>
    <row r="166" spans="1:9" x14ac:dyDescent="0.25">
      <c r="A166" s="213" t="s">
        <v>135</v>
      </c>
      <c r="B166" s="248">
        <v>1000</v>
      </c>
      <c r="C166" s="249">
        <f t="shared" si="49"/>
        <v>41.666666666666664</v>
      </c>
      <c r="D166" s="250">
        <f t="shared" si="50"/>
        <v>93.896713615023472</v>
      </c>
      <c r="E166" s="217">
        <f t="shared" si="50"/>
        <v>3.9123630672926444</v>
      </c>
      <c r="F166" s="251"/>
      <c r="G166" s="216">
        <f t="shared" si="51"/>
        <v>0</v>
      </c>
      <c r="H166" s="216">
        <f t="shared" si="52"/>
        <v>0</v>
      </c>
      <c r="I166" s="217">
        <f t="shared" si="52"/>
        <v>0</v>
      </c>
    </row>
    <row r="167" spans="1:9" x14ac:dyDescent="0.25">
      <c r="A167" s="213" t="s">
        <v>136</v>
      </c>
      <c r="B167" s="248"/>
      <c r="C167" s="249">
        <f t="shared" si="49"/>
        <v>0</v>
      </c>
      <c r="D167" s="250">
        <f t="shared" si="50"/>
        <v>0</v>
      </c>
      <c r="E167" s="217">
        <f t="shared" si="50"/>
        <v>0</v>
      </c>
      <c r="F167" s="251"/>
      <c r="G167" s="216">
        <f t="shared" si="51"/>
        <v>0</v>
      </c>
      <c r="H167" s="216">
        <f t="shared" si="52"/>
        <v>0</v>
      </c>
      <c r="I167" s="217">
        <f t="shared" si="52"/>
        <v>0</v>
      </c>
    </row>
    <row r="168" spans="1:9" x14ac:dyDescent="0.25">
      <c r="A168" s="213" t="s">
        <v>137</v>
      </c>
      <c r="B168" s="248"/>
      <c r="C168" s="249">
        <f t="shared" si="49"/>
        <v>0</v>
      </c>
      <c r="D168" s="250">
        <f t="shared" si="50"/>
        <v>0</v>
      </c>
      <c r="E168" s="217">
        <f t="shared" si="50"/>
        <v>0</v>
      </c>
      <c r="F168" s="251"/>
      <c r="G168" s="216">
        <f t="shared" si="51"/>
        <v>0</v>
      </c>
      <c r="H168" s="216">
        <f t="shared" si="52"/>
        <v>0</v>
      </c>
      <c r="I168" s="217">
        <f t="shared" si="52"/>
        <v>0</v>
      </c>
    </row>
    <row r="169" spans="1:9" ht="17.25" thickBot="1" x14ac:dyDescent="0.3">
      <c r="A169" s="225" t="s">
        <v>139</v>
      </c>
      <c r="B169" s="258"/>
      <c r="C169" s="259">
        <f t="shared" si="49"/>
        <v>0</v>
      </c>
      <c r="D169" s="260">
        <f t="shared" si="50"/>
        <v>0</v>
      </c>
      <c r="E169" s="229">
        <f t="shared" si="50"/>
        <v>0</v>
      </c>
      <c r="F169" s="261"/>
      <c r="G169" s="228">
        <f t="shared" si="51"/>
        <v>0</v>
      </c>
      <c r="H169" s="228">
        <f t="shared" si="52"/>
        <v>0</v>
      </c>
      <c r="I169" s="229">
        <f t="shared" si="52"/>
        <v>0</v>
      </c>
    </row>
    <row r="170" spans="1:9" ht="17.25" thickBot="1" x14ac:dyDescent="0.3">
      <c r="A170" s="262" t="s">
        <v>25</v>
      </c>
      <c r="B170" s="504"/>
      <c r="C170" s="505"/>
      <c r="D170" s="505"/>
      <c r="E170" s="505"/>
      <c r="F170" s="505"/>
      <c r="G170" s="505"/>
      <c r="H170" s="505"/>
      <c r="I170" s="506"/>
    </row>
    <row r="171" spans="1:9" ht="17.25" thickBot="1" x14ac:dyDescent="0.3">
      <c r="A171" s="203" t="s">
        <v>122</v>
      </c>
      <c r="B171" s="263">
        <v>1000</v>
      </c>
      <c r="C171" s="264">
        <f t="shared" ref="C171:C182" si="53">B171/$N$1</f>
        <v>41.666666666666664</v>
      </c>
      <c r="D171" s="265">
        <f t="shared" ref="D171:E182" si="54">B171/10.65</f>
        <v>93.896713615023472</v>
      </c>
      <c r="E171" s="266">
        <f t="shared" si="54"/>
        <v>3.9123630672926444</v>
      </c>
      <c r="F171" s="263">
        <v>1000</v>
      </c>
      <c r="G171" s="267">
        <f t="shared" ref="G171:G182" si="55">F171/$N$1</f>
        <v>41.666666666666664</v>
      </c>
      <c r="H171" s="267">
        <f t="shared" ref="H171:I182" si="56">F171/10.65</f>
        <v>93.896713615023472</v>
      </c>
      <c r="I171" s="266">
        <f t="shared" si="56"/>
        <v>3.9123630672926444</v>
      </c>
    </row>
    <row r="172" spans="1:9" x14ac:dyDescent="0.25">
      <c r="A172" s="213" t="s">
        <v>124</v>
      </c>
      <c r="B172" s="268"/>
      <c r="C172" s="269">
        <f t="shared" si="53"/>
        <v>0</v>
      </c>
      <c r="D172" s="270">
        <f t="shared" si="54"/>
        <v>0</v>
      </c>
      <c r="E172" s="271">
        <f t="shared" si="54"/>
        <v>0</v>
      </c>
      <c r="F172" s="272"/>
      <c r="G172" s="273">
        <f t="shared" si="55"/>
        <v>0</v>
      </c>
      <c r="H172" s="273">
        <f t="shared" si="56"/>
        <v>0</v>
      </c>
      <c r="I172" s="271">
        <f t="shared" si="56"/>
        <v>0</v>
      </c>
    </row>
    <row r="173" spans="1:9" x14ac:dyDescent="0.25">
      <c r="A173" s="213" t="s">
        <v>126</v>
      </c>
      <c r="B173" s="268"/>
      <c r="C173" s="269">
        <f t="shared" si="53"/>
        <v>0</v>
      </c>
      <c r="D173" s="270">
        <f t="shared" si="54"/>
        <v>0</v>
      </c>
      <c r="E173" s="271">
        <f t="shared" si="54"/>
        <v>0</v>
      </c>
      <c r="F173" s="272"/>
      <c r="G173" s="273">
        <f t="shared" si="55"/>
        <v>0</v>
      </c>
      <c r="H173" s="273">
        <f t="shared" si="56"/>
        <v>0</v>
      </c>
      <c r="I173" s="271">
        <f t="shared" si="56"/>
        <v>0</v>
      </c>
    </row>
    <row r="174" spans="1:9" x14ac:dyDescent="0.25">
      <c r="A174" s="213" t="s">
        <v>128</v>
      </c>
      <c r="B174" s="268"/>
      <c r="C174" s="269">
        <f t="shared" si="53"/>
        <v>0</v>
      </c>
      <c r="D174" s="270">
        <f t="shared" si="54"/>
        <v>0</v>
      </c>
      <c r="E174" s="271">
        <f t="shared" si="54"/>
        <v>0</v>
      </c>
      <c r="F174" s="272"/>
      <c r="G174" s="273">
        <f t="shared" si="55"/>
        <v>0</v>
      </c>
      <c r="H174" s="273">
        <f t="shared" si="56"/>
        <v>0</v>
      </c>
      <c r="I174" s="271">
        <f t="shared" si="56"/>
        <v>0</v>
      </c>
    </row>
    <row r="175" spans="1:9" ht="17.25" thickBot="1" x14ac:dyDescent="0.3">
      <c r="A175" s="218" t="s">
        <v>129</v>
      </c>
      <c r="B175" s="274">
        <v>1000</v>
      </c>
      <c r="C175" s="275">
        <f t="shared" si="53"/>
        <v>41.666666666666664</v>
      </c>
      <c r="D175" s="276">
        <f t="shared" si="54"/>
        <v>93.896713615023472</v>
      </c>
      <c r="E175" s="277">
        <f t="shared" si="54"/>
        <v>3.9123630672926444</v>
      </c>
      <c r="F175" s="278">
        <v>1000</v>
      </c>
      <c r="G175" s="279">
        <f t="shared" si="55"/>
        <v>41.666666666666664</v>
      </c>
      <c r="H175" s="279">
        <f t="shared" si="56"/>
        <v>93.896713615023472</v>
      </c>
      <c r="I175" s="277">
        <f t="shared" si="56"/>
        <v>3.9123630672926444</v>
      </c>
    </row>
    <row r="176" spans="1:9" ht="17.25" thickBot="1" x14ac:dyDescent="0.3">
      <c r="A176" s="223" t="s">
        <v>132</v>
      </c>
      <c r="B176" s="263">
        <v>1000</v>
      </c>
      <c r="C176" s="264">
        <f t="shared" si="53"/>
        <v>41.666666666666664</v>
      </c>
      <c r="D176" s="265">
        <f t="shared" si="54"/>
        <v>93.896713615023472</v>
      </c>
      <c r="E176" s="266">
        <f t="shared" si="54"/>
        <v>3.9123630672926444</v>
      </c>
      <c r="F176" s="263">
        <v>0</v>
      </c>
      <c r="G176" s="267">
        <f t="shared" si="55"/>
        <v>0</v>
      </c>
      <c r="H176" s="267">
        <f t="shared" si="56"/>
        <v>0</v>
      </c>
      <c r="I176" s="266">
        <f t="shared" si="56"/>
        <v>0</v>
      </c>
    </row>
    <row r="177" spans="1:9" x14ac:dyDescent="0.25">
      <c r="A177" s="208" t="s">
        <v>133</v>
      </c>
      <c r="B177" s="280"/>
      <c r="C177" s="281">
        <f t="shared" si="53"/>
        <v>0</v>
      </c>
      <c r="D177" s="282">
        <f t="shared" si="54"/>
        <v>0</v>
      </c>
      <c r="E177" s="283">
        <f t="shared" si="54"/>
        <v>0</v>
      </c>
      <c r="F177" s="284"/>
      <c r="G177" s="285">
        <f t="shared" si="55"/>
        <v>0</v>
      </c>
      <c r="H177" s="285">
        <f t="shared" si="56"/>
        <v>0</v>
      </c>
      <c r="I177" s="283">
        <f t="shared" si="56"/>
        <v>0</v>
      </c>
    </row>
    <row r="178" spans="1:9" x14ac:dyDescent="0.25">
      <c r="A178" s="213" t="s">
        <v>134</v>
      </c>
      <c r="B178" s="268">
        <v>0</v>
      </c>
      <c r="C178" s="269">
        <f t="shared" si="53"/>
        <v>0</v>
      </c>
      <c r="D178" s="270">
        <f t="shared" si="54"/>
        <v>0</v>
      </c>
      <c r="E178" s="271">
        <f t="shared" si="54"/>
        <v>0</v>
      </c>
      <c r="F178" s="272">
        <v>0</v>
      </c>
      <c r="G178" s="273">
        <f t="shared" si="55"/>
        <v>0</v>
      </c>
      <c r="H178" s="273">
        <f t="shared" si="56"/>
        <v>0</v>
      </c>
      <c r="I178" s="271">
        <f t="shared" si="56"/>
        <v>0</v>
      </c>
    </row>
    <row r="179" spans="1:9" x14ac:dyDescent="0.25">
      <c r="A179" s="213" t="s">
        <v>135</v>
      </c>
      <c r="B179" s="268">
        <v>1000</v>
      </c>
      <c r="C179" s="269">
        <f t="shared" si="53"/>
        <v>41.666666666666664</v>
      </c>
      <c r="D179" s="270">
        <f t="shared" si="54"/>
        <v>93.896713615023472</v>
      </c>
      <c r="E179" s="271">
        <f t="shared" si="54"/>
        <v>3.9123630672926444</v>
      </c>
      <c r="F179" s="272"/>
      <c r="G179" s="273">
        <f t="shared" si="55"/>
        <v>0</v>
      </c>
      <c r="H179" s="273">
        <f t="shared" si="56"/>
        <v>0</v>
      </c>
      <c r="I179" s="271">
        <f t="shared" si="56"/>
        <v>0</v>
      </c>
    </row>
    <row r="180" spans="1:9" x14ac:dyDescent="0.25">
      <c r="A180" s="213" t="s">
        <v>136</v>
      </c>
      <c r="B180" s="268"/>
      <c r="C180" s="269">
        <f t="shared" si="53"/>
        <v>0</v>
      </c>
      <c r="D180" s="270">
        <f t="shared" si="54"/>
        <v>0</v>
      </c>
      <c r="E180" s="271">
        <f t="shared" si="54"/>
        <v>0</v>
      </c>
      <c r="F180" s="272"/>
      <c r="G180" s="273">
        <f t="shared" si="55"/>
        <v>0</v>
      </c>
      <c r="H180" s="273">
        <f t="shared" si="56"/>
        <v>0</v>
      </c>
      <c r="I180" s="271">
        <f t="shared" si="56"/>
        <v>0</v>
      </c>
    </row>
    <row r="181" spans="1:9" x14ac:dyDescent="0.25">
      <c r="A181" s="213" t="s">
        <v>137</v>
      </c>
      <c r="B181" s="268"/>
      <c r="C181" s="269">
        <f t="shared" si="53"/>
        <v>0</v>
      </c>
      <c r="D181" s="270">
        <f t="shared" si="54"/>
        <v>0</v>
      </c>
      <c r="E181" s="271">
        <f t="shared" si="54"/>
        <v>0</v>
      </c>
      <c r="F181" s="272"/>
      <c r="G181" s="273">
        <f t="shared" si="55"/>
        <v>0</v>
      </c>
      <c r="H181" s="273">
        <f t="shared" si="56"/>
        <v>0</v>
      </c>
      <c r="I181" s="271">
        <f t="shared" si="56"/>
        <v>0</v>
      </c>
    </row>
    <row r="182" spans="1:9" ht="17.25" thickBot="1" x14ac:dyDescent="0.3">
      <c r="A182" s="225" t="s">
        <v>139</v>
      </c>
      <c r="B182" s="286"/>
      <c r="C182" s="287">
        <f t="shared" si="53"/>
        <v>0</v>
      </c>
      <c r="D182" s="288">
        <f t="shared" si="54"/>
        <v>0</v>
      </c>
      <c r="E182" s="289">
        <f t="shared" si="54"/>
        <v>0</v>
      </c>
      <c r="F182" s="290"/>
      <c r="G182" s="291">
        <f t="shared" si="55"/>
        <v>0</v>
      </c>
      <c r="H182" s="291">
        <f t="shared" si="56"/>
        <v>0</v>
      </c>
      <c r="I182" s="289">
        <f t="shared" si="56"/>
        <v>0</v>
      </c>
    </row>
    <row r="183" spans="1:9" ht="17.25" thickBot="1" x14ac:dyDescent="0.3">
      <c r="A183" s="202" t="s">
        <v>26</v>
      </c>
      <c r="B183" s="504"/>
      <c r="C183" s="505"/>
      <c r="D183" s="505"/>
      <c r="E183" s="505"/>
      <c r="F183" s="505"/>
      <c r="G183" s="505"/>
      <c r="H183" s="505"/>
      <c r="I183" s="506"/>
    </row>
    <row r="184" spans="1:9" ht="17.25" thickBot="1" x14ac:dyDescent="0.3">
      <c r="A184" s="203" t="s">
        <v>122</v>
      </c>
      <c r="B184" s="238">
        <v>1000</v>
      </c>
      <c r="C184" s="243">
        <f t="shared" ref="C184:C195" si="57">B184/$N$1</f>
        <v>41.666666666666664</v>
      </c>
      <c r="D184" s="244">
        <f t="shared" ref="D184:E195" si="58">B184/10.65</f>
        <v>93.896713615023472</v>
      </c>
      <c r="E184" s="207">
        <f t="shared" si="58"/>
        <v>3.9123630672926444</v>
      </c>
      <c r="F184" s="238">
        <v>1000</v>
      </c>
      <c r="G184" s="206">
        <f t="shared" ref="G184:G195" si="59">F184/$N$1</f>
        <v>41.666666666666664</v>
      </c>
      <c r="H184" s="206">
        <f t="shared" ref="H184:I195" si="60">F184/10.65</f>
        <v>93.896713615023472</v>
      </c>
      <c r="I184" s="207">
        <f t="shared" si="60"/>
        <v>3.9123630672926444</v>
      </c>
    </row>
    <row r="185" spans="1:9" x14ac:dyDescent="0.25">
      <c r="A185" s="213" t="s">
        <v>124</v>
      </c>
      <c r="B185" s="248"/>
      <c r="C185" s="249">
        <f t="shared" si="57"/>
        <v>0</v>
      </c>
      <c r="D185" s="250">
        <f t="shared" si="58"/>
        <v>0</v>
      </c>
      <c r="E185" s="217">
        <f t="shared" si="58"/>
        <v>0</v>
      </c>
      <c r="F185" s="251"/>
      <c r="G185" s="216">
        <f t="shared" si="59"/>
        <v>0</v>
      </c>
      <c r="H185" s="216">
        <f t="shared" si="60"/>
        <v>0</v>
      </c>
      <c r="I185" s="217">
        <f t="shared" si="60"/>
        <v>0</v>
      </c>
    </row>
    <row r="186" spans="1:9" x14ac:dyDescent="0.25">
      <c r="A186" s="213" t="s">
        <v>126</v>
      </c>
      <c r="B186" s="248"/>
      <c r="C186" s="249">
        <f t="shared" si="57"/>
        <v>0</v>
      </c>
      <c r="D186" s="250">
        <f t="shared" si="58"/>
        <v>0</v>
      </c>
      <c r="E186" s="217">
        <f t="shared" si="58"/>
        <v>0</v>
      </c>
      <c r="F186" s="251"/>
      <c r="G186" s="216">
        <f t="shared" si="59"/>
        <v>0</v>
      </c>
      <c r="H186" s="216">
        <f t="shared" si="60"/>
        <v>0</v>
      </c>
      <c r="I186" s="217">
        <f t="shared" si="60"/>
        <v>0</v>
      </c>
    </row>
    <row r="187" spans="1:9" x14ac:dyDescent="0.25">
      <c r="A187" s="213" t="s">
        <v>128</v>
      </c>
      <c r="B187" s="248"/>
      <c r="C187" s="249">
        <f t="shared" si="57"/>
        <v>0</v>
      </c>
      <c r="D187" s="250">
        <f t="shared" si="58"/>
        <v>0</v>
      </c>
      <c r="E187" s="217">
        <f t="shared" si="58"/>
        <v>0</v>
      </c>
      <c r="F187" s="251"/>
      <c r="G187" s="216">
        <f t="shared" si="59"/>
        <v>0</v>
      </c>
      <c r="H187" s="216">
        <f t="shared" si="60"/>
        <v>0</v>
      </c>
      <c r="I187" s="217">
        <f t="shared" si="60"/>
        <v>0</v>
      </c>
    </row>
    <row r="188" spans="1:9" ht="17.25" thickBot="1" x14ac:dyDescent="0.3">
      <c r="A188" s="218" t="s">
        <v>129</v>
      </c>
      <c r="B188" s="252">
        <v>1000</v>
      </c>
      <c r="C188" s="253">
        <f t="shared" si="57"/>
        <v>41.666666666666664</v>
      </c>
      <c r="D188" s="254">
        <f t="shared" si="58"/>
        <v>93.896713615023472</v>
      </c>
      <c r="E188" s="222">
        <f t="shared" si="58"/>
        <v>3.9123630672926444</v>
      </c>
      <c r="F188" s="255">
        <v>1000</v>
      </c>
      <c r="G188" s="221">
        <f t="shared" si="59"/>
        <v>41.666666666666664</v>
      </c>
      <c r="H188" s="221">
        <f t="shared" si="60"/>
        <v>93.896713615023472</v>
      </c>
      <c r="I188" s="222">
        <f t="shared" si="60"/>
        <v>3.9123630672926444</v>
      </c>
    </row>
    <row r="189" spans="1:9" ht="17.25" thickBot="1" x14ac:dyDescent="0.3">
      <c r="A189" s="223" t="s">
        <v>132</v>
      </c>
      <c r="B189" s="240">
        <v>1000</v>
      </c>
      <c r="C189" s="256">
        <f t="shared" si="57"/>
        <v>41.666666666666664</v>
      </c>
      <c r="D189" s="257">
        <f t="shared" si="58"/>
        <v>93.896713615023472</v>
      </c>
      <c r="E189" s="233">
        <f t="shared" si="58"/>
        <v>3.9123630672926444</v>
      </c>
      <c r="F189" s="240">
        <v>0</v>
      </c>
      <c r="G189" s="232">
        <f t="shared" si="59"/>
        <v>0</v>
      </c>
      <c r="H189" s="232">
        <f t="shared" si="60"/>
        <v>0</v>
      </c>
      <c r="I189" s="233">
        <f t="shared" si="60"/>
        <v>0</v>
      </c>
    </row>
    <row r="190" spans="1:9" x14ac:dyDescent="0.25">
      <c r="A190" s="208" t="s">
        <v>133</v>
      </c>
      <c r="B190" s="245"/>
      <c r="C190" s="246">
        <f t="shared" si="57"/>
        <v>0</v>
      </c>
      <c r="D190" s="247">
        <f t="shared" si="58"/>
        <v>0</v>
      </c>
      <c r="E190" s="212">
        <f t="shared" si="58"/>
        <v>0</v>
      </c>
      <c r="F190" s="239"/>
      <c r="G190" s="211">
        <f t="shared" si="59"/>
        <v>0</v>
      </c>
      <c r="H190" s="211">
        <f t="shared" si="60"/>
        <v>0</v>
      </c>
      <c r="I190" s="212">
        <f t="shared" si="60"/>
        <v>0</v>
      </c>
    </row>
    <row r="191" spans="1:9" x14ac:dyDescent="0.25">
      <c r="A191" s="213" t="s">
        <v>134</v>
      </c>
      <c r="B191" s="248">
        <v>0</v>
      </c>
      <c r="C191" s="249">
        <f t="shared" si="57"/>
        <v>0</v>
      </c>
      <c r="D191" s="250">
        <f t="shared" si="58"/>
        <v>0</v>
      </c>
      <c r="E191" s="217">
        <f t="shared" si="58"/>
        <v>0</v>
      </c>
      <c r="F191" s="251">
        <v>0</v>
      </c>
      <c r="G191" s="216">
        <f t="shared" si="59"/>
        <v>0</v>
      </c>
      <c r="H191" s="216">
        <f t="shared" si="60"/>
        <v>0</v>
      </c>
      <c r="I191" s="217">
        <f t="shared" si="60"/>
        <v>0</v>
      </c>
    </row>
    <row r="192" spans="1:9" x14ac:dyDescent="0.25">
      <c r="A192" s="213" t="s">
        <v>135</v>
      </c>
      <c r="B192" s="248">
        <v>1000</v>
      </c>
      <c r="C192" s="249">
        <f t="shared" si="57"/>
        <v>41.666666666666664</v>
      </c>
      <c r="D192" s="250">
        <f t="shared" si="58"/>
        <v>93.896713615023472</v>
      </c>
      <c r="E192" s="217">
        <f t="shared" si="58"/>
        <v>3.9123630672926444</v>
      </c>
      <c r="F192" s="251"/>
      <c r="G192" s="216">
        <f t="shared" si="59"/>
        <v>0</v>
      </c>
      <c r="H192" s="216">
        <f t="shared" si="60"/>
        <v>0</v>
      </c>
      <c r="I192" s="217">
        <f t="shared" si="60"/>
        <v>0</v>
      </c>
    </row>
    <row r="193" spans="1:9" x14ac:dyDescent="0.25">
      <c r="A193" s="213" t="s">
        <v>136</v>
      </c>
      <c r="B193" s="248"/>
      <c r="C193" s="249">
        <f t="shared" si="57"/>
        <v>0</v>
      </c>
      <c r="D193" s="250">
        <f t="shared" si="58"/>
        <v>0</v>
      </c>
      <c r="E193" s="217">
        <f t="shared" si="58"/>
        <v>0</v>
      </c>
      <c r="F193" s="251"/>
      <c r="G193" s="216">
        <f t="shared" si="59"/>
        <v>0</v>
      </c>
      <c r="H193" s="216">
        <f t="shared" si="60"/>
        <v>0</v>
      </c>
      <c r="I193" s="217">
        <f t="shared" si="60"/>
        <v>0</v>
      </c>
    </row>
    <row r="194" spans="1:9" x14ac:dyDescent="0.25">
      <c r="A194" s="213" t="s">
        <v>137</v>
      </c>
      <c r="B194" s="248"/>
      <c r="C194" s="249">
        <f t="shared" si="57"/>
        <v>0</v>
      </c>
      <c r="D194" s="250">
        <f t="shared" si="58"/>
        <v>0</v>
      </c>
      <c r="E194" s="217">
        <f t="shared" si="58"/>
        <v>0</v>
      </c>
      <c r="F194" s="251"/>
      <c r="G194" s="216">
        <f t="shared" si="59"/>
        <v>0</v>
      </c>
      <c r="H194" s="216">
        <f t="shared" si="60"/>
        <v>0</v>
      </c>
      <c r="I194" s="217">
        <f t="shared" si="60"/>
        <v>0</v>
      </c>
    </row>
    <row r="195" spans="1:9" ht="17.25" thickBot="1" x14ac:dyDescent="0.3">
      <c r="A195" s="225" t="s">
        <v>139</v>
      </c>
      <c r="B195" s="258"/>
      <c r="C195" s="259">
        <f t="shared" si="57"/>
        <v>0</v>
      </c>
      <c r="D195" s="260">
        <f t="shared" si="58"/>
        <v>0</v>
      </c>
      <c r="E195" s="229">
        <f t="shared" si="58"/>
        <v>0</v>
      </c>
      <c r="F195" s="261"/>
      <c r="G195" s="228">
        <f t="shared" si="59"/>
        <v>0</v>
      </c>
      <c r="H195" s="228">
        <f t="shared" si="60"/>
        <v>0</v>
      </c>
      <c r="I195" s="229">
        <f t="shared" si="60"/>
        <v>0</v>
      </c>
    </row>
    <row r="196" spans="1:9" ht="17.25" thickBot="1" x14ac:dyDescent="0.3">
      <c r="A196" s="202" t="s">
        <v>27</v>
      </c>
      <c r="B196" s="504"/>
      <c r="C196" s="505"/>
      <c r="D196" s="505"/>
      <c r="E196" s="505"/>
      <c r="F196" s="505"/>
      <c r="G196" s="505"/>
      <c r="H196" s="505"/>
      <c r="I196" s="506"/>
    </row>
    <row r="197" spans="1:9" ht="17.25" thickBot="1" x14ac:dyDescent="0.3">
      <c r="A197" s="203" t="s">
        <v>122</v>
      </c>
      <c r="B197" s="238">
        <v>1000</v>
      </c>
      <c r="C197" s="243">
        <f t="shared" ref="C197:C208" si="61">B197/$N$1</f>
        <v>41.666666666666664</v>
      </c>
      <c r="D197" s="244">
        <f t="shared" ref="D197:E208" si="62">B197/10.65</f>
        <v>93.896713615023472</v>
      </c>
      <c r="E197" s="207">
        <f t="shared" si="62"/>
        <v>3.9123630672926444</v>
      </c>
      <c r="F197" s="238">
        <v>1000</v>
      </c>
      <c r="G197" s="206">
        <f t="shared" ref="G197:G208" si="63">F197/$N$1</f>
        <v>41.666666666666664</v>
      </c>
      <c r="H197" s="206">
        <f t="shared" ref="H197:I208" si="64">F197/10.65</f>
        <v>93.896713615023472</v>
      </c>
      <c r="I197" s="207">
        <f t="shared" si="64"/>
        <v>3.9123630672926444</v>
      </c>
    </row>
    <row r="198" spans="1:9" x14ac:dyDescent="0.25">
      <c r="A198" s="213" t="s">
        <v>124</v>
      </c>
      <c r="B198" s="248"/>
      <c r="C198" s="249">
        <f t="shared" si="61"/>
        <v>0</v>
      </c>
      <c r="D198" s="250">
        <f t="shared" si="62"/>
        <v>0</v>
      </c>
      <c r="E198" s="217">
        <f t="shared" si="62"/>
        <v>0</v>
      </c>
      <c r="F198" s="251"/>
      <c r="G198" s="216">
        <f t="shared" si="63"/>
        <v>0</v>
      </c>
      <c r="H198" s="216">
        <f t="shared" si="64"/>
        <v>0</v>
      </c>
      <c r="I198" s="217">
        <f t="shared" si="64"/>
        <v>0</v>
      </c>
    </row>
    <row r="199" spans="1:9" x14ac:dyDescent="0.25">
      <c r="A199" s="213" t="s">
        <v>126</v>
      </c>
      <c r="B199" s="248"/>
      <c r="C199" s="249">
        <f t="shared" si="61"/>
        <v>0</v>
      </c>
      <c r="D199" s="250">
        <f t="shared" si="62"/>
        <v>0</v>
      </c>
      <c r="E199" s="217">
        <f t="shared" si="62"/>
        <v>0</v>
      </c>
      <c r="F199" s="251"/>
      <c r="G199" s="216">
        <f t="shared" si="63"/>
        <v>0</v>
      </c>
      <c r="H199" s="216">
        <f t="shared" si="64"/>
        <v>0</v>
      </c>
      <c r="I199" s="217">
        <f t="shared" si="64"/>
        <v>0</v>
      </c>
    </row>
    <row r="200" spans="1:9" x14ac:dyDescent="0.25">
      <c r="A200" s="213" t="s">
        <v>128</v>
      </c>
      <c r="B200" s="248"/>
      <c r="C200" s="249">
        <f t="shared" si="61"/>
        <v>0</v>
      </c>
      <c r="D200" s="250">
        <f t="shared" si="62"/>
        <v>0</v>
      </c>
      <c r="E200" s="217">
        <f t="shared" si="62"/>
        <v>0</v>
      </c>
      <c r="F200" s="251"/>
      <c r="G200" s="216">
        <f t="shared" si="63"/>
        <v>0</v>
      </c>
      <c r="H200" s="216">
        <f t="shared" si="64"/>
        <v>0</v>
      </c>
      <c r="I200" s="217">
        <f t="shared" si="64"/>
        <v>0</v>
      </c>
    </row>
    <row r="201" spans="1:9" ht="17.25" thickBot="1" x14ac:dyDescent="0.3">
      <c r="A201" s="218" t="s">
        <v>129</v>
      </c>
      <c r="B201" s="252">
        <v>1000</v>
      </c>
      <c r="C201" s="253">
        <f t="shared" si="61"/>
        <v>41.666666666666664</v>
      </c>
      <c r="D201" s="254">
        <f t="shared" si="62"/>
        <v>93.896713615023472</v>
      </c>
      <c r="E201" s="222">
        <f t="shared" si="62"/>
        <v>3.9123630672926444</v>
      </c>
      <c r="F201" s="255">
        <v>1000</v>
      </c>
      <c r="G201" s="221">
        <f t="shared" si="63"/>
        <v>41.666666666666664</v>
      </c>
      <c r="H201" s="221">
        <f t="shared" si="64"/>
        <v>93.896713615023472</v>
      </c>
      <c r="I201" s="222">
        <f t="shared" si="64"/>
        <v>3.9123630672926444</v>
      </c>
    </row>
    <row r="202" spans="1:9" ht="17.25" thickBot="1" x14ac:dyDescent="0.3">
      <c r="A202" s="223" t="s">
        <v>132</v>
      </c>
      <c r="B202" s="238">
        <v>1000</v>
      </c>
      <c r="C202" s="243">
        <f t="shared" si="61"/>
        <v>41.666666666666664</v>
      </c>
      <c r="D202" s="244">
        <f t="shared" si="62"/>
        <v>93.896713615023472</v>
      </c>
      <c r="E202" s="207">
        <f t="shared" si="62"/>
        <v>3.9123630672926444</v>
      </c>
      <c r="F202" s="238">
        <v>0</v>
      </c>
      <c r="G202" s="206">
        <f t="shared" si="63"/>
        <v>0</v>
      </c>
      <c r="H202" s="206">
        <f t="shared" si="64"/>
        <v>0</v>
      </c>
      <c r="I202" s="207">
        <f t="shared" si="64"/>
        <v>0</v>
      </c>
    </row>
    <row r="203" spans="1:9" x14ac:dyDescent="0.25">
      <c r="A203" s="208" t="s">
        <v>133</v>
      </c>
      <c r="B203" s="245"/>
      <c r="C203" s="246">
        <f t="shared" si="61"/>
        <v>0</v>
      </c>
      <c r="D203" s="247">
        <f t="shared" si="62"/>
        <v>0</v>
      </c>
      <c r="E203" s="212">
        <f t="shared" si="62"/>
        <v>0</v>
      </c>
      <c r="F203" s="239"/>
      <c r="G203" s="211">
        <f t="shared" si="63"/>
        <v>0</v>
      </c>
      <c r="H203" s="211">
        <f t="shared" si="64"/>
        <v>0</v>
      </c>
      <c r="I203" s="212">
        <f t="shared" si="64"/>
        <v>0</v>
      </c>
    </row>
    <row r="204" spans="1:9" x14ac:dyDescent="0.25">
      <c r="A204" s="213" t="s">
        <v>134</v>
      </c>
      <c r="B204" s="248">
        <v>0</v>
      </c>
      <c r="C204" s="249">
        <f t="shared" si="61"/>
        <v>0</v>
      </c>
      <c r="D204" s="250">
        <f t="shared" si="62"/>
        <v>0</v>
      </c>
      <c r="E204" s="217">
        <f t="shared" si="62"/>
        <v>0</v>
      </c>
      <c r="F204" s="251">
        <v>0</v>
      </c>
      <c r="G204" s="216">
        <f t="shared" si="63"/>
        <v>0</v>
      </c>
      <c r="H204" s="216">
        <f t="shared" si="64"/>
        <v>0</v>
      </c>
      <c r="I204" s="217">
        <f t="shared" si="64"/>
        <v>0</v>
      </c>
    </row>
    <row r="205" spans="1:9" x14ac:dyDescent="0.25">
      <c r="A205" s="213" t="s">
        <v>135</v>
      </c>
      <c r="B205" s="248">
        <v>1000</v>
      </c>
      <c r="C205" s="249">
        <f t="shared" si="61"/>
        <v>41.666666666666664</v>
      </c>
      <c r="D205" s="250">
        <f t="shared" si="62"/>
        <v>93.896713615023472</v>
      </c>
      <c r="E205" s="217">
        <f t="shared" si="62"/>
        <v>3.9123630672926444</v>
      </c>
      <c r="F205" s="251"/>
      <c r="G205" s="216">
        <f t="shared" si="63"/>
        <v>0</v>
      </c>
      <c r="H205" s="216">
        <f t="shared" si="64"/>
        <v>0</v>
      </c>
      <c r="I205" s="217">
        <f t="shared" si="64"/>
        <v>0</v>
      </c>
    </row>
    <row r="206" spans="1:9" x14ac:dyDescent="0.25">
      <c r="A206" s="213" t="s">
        <v>136</v>
      </c>
      <c r="B206" s="248"/>
      <c r="C206" s="249">
        <f t="shared" si="61"/>
        <v>0</v>
      </c>
      <c r="D206" s="250">
        <f t="shared" si="62"/>
        <v>0</v>
      </c>
      <c r="E206" s="217">
        <f t="shared" si="62"/>
        <v>0</v>
      </c>
      <c r="F206" s="251"/>
      <c r="G206" s="216">
        <f t="shared" si="63"/>
        <v>0</v>
      </c>
      <c r="H206" s="216">
        <f t="shared" si="64"/>
        <v>0</v>
      </c>
      <c r="I206" s="217">
        <f t="shared" si="64"/>
        <v>0</v>
      </c>
    </row>
    <row r="207" spans="1:9" x14ac:dyDescent="0.25">
      <c r="A207" s="213" t="s">
        <v>137</v>
      </c>
      <c r="B207" s="248"/>
      <c r="C207" s="249">
        <f t="shared" si="61"/>
        <v>0</v>
      </c>
      <c r="D207" s="250">
        <f t="shared" si="62"/>
        <v>0</v>
      </c>
      <c r="E207" s="217">
        <f t="shared" si="62"/>
        <v>0</v>
      </c>
      <c r="F207" s="251"/>
      <c r="G207" s="216">
        <f t="shared" si="63"/>
        <v>0</v>
      </c>
      <c r="H207" s="216">
        <f t="shared" si="64"/>
        <v>0</v>
      </c>
      <c r="I207" s="217">
        <f t="shared" si="64"/>
        <v>0</v>
      </c>
    </row>
    <row r="208" spans="1:9" ht="17.25" thickBot="1" x14ac:dyDescent="0.3">
      <c r="A208" s="225" t="s">
        <v>139</v>
      </c>
      <c r="B208" s="258"/>
      <c r="C208" s="259">
        <f t="shared" si="61"/>
        <v>0</v>
      </c>
      <c r="D208" s="260">
        <f t="shared" si="62"/>
        <v>0</v>
      </c>
      <c r="E208" s="229">
        <f t="shared" si="62"/>
        <v>0</v>
      </c>
      <c r="F208" s="261"/>
      <c r="G208" s="228">
        <f t="shared" si="63"/>
        <v>0</v>
      </c>
      <c r="H208" s="228">
        <f t="shared" si="64"/>
        <v>0</v>
      </c>
      <c r="I208" s="229">
        <f t="shared" si="64"/>
        <v>0</v>
      </c>
    </row>
    <row r="209" spans="1:9" ht="17.25" thickBot="1" x14ac:dyDescent="0.3">
      <c r="A209" s="202" t="s">
        <v>28</v>
      </c>
      <c r="B209" s="504"/>
      <c r="C209" s="505"/>
      <c r="D209" s="505"/>
      <c r="E209" s="505"/>
      <c r="F209" s="505"/>
      <c r="G209" s="505"/>
      <c r="H209" s="505"/>
      <c r="I209" s="506"/>
    </row>
    <row r="210" spans="1:9" ht="17.25" thickBot="1" x14ac:dyDescent="0.3">
      <c r="A210" s="203" t="s">
        <v>122</v>
      </c>
      <c r="B210" s="238">
        <v>1000</v>
      </c>
      <c r="C210" s="243">
        <f t="shared" ref="C210:C221" si="65">B210/$N$1</f>
        <v>41.666666666666664</v>
      </c>
      <c r="D210" s="244">
        <f t="shared" ref="D210:E221" si="66">B210/10.65</f>
        <v>93.896713615023472</v>
      </c>
      <c r="E210" s="207">
        <f t="shared" si="66"/>
        <v>3.9123630672926444</v>
      </c>
      <c r="F210" s="238">
        <v>1000</v>
      </c>
      <c r="G210" s="206">
        <f t="shared" ref="G210:G221" si="67">F210/$N$1</f>
        <v>41.666666666666664</v>
      </c>
      <c r="H210" s="206">
        <f t="shared" ref="H210:I221" si="68">F210/10.65</f>
        <v>93.896713615023472</v>
      </c>
      <c r="I210" s="207">
        <f t="shared" si="68"/>
        <v>3.9123630672926444</v>
      </c>
    </row>
    <row r="211" spans="1:9" x14ac:dyDescent="0.25">
      <c r="A211" s="213" t="s">
        <v>124</v>
      </c>
      <c r="B211" s="248"/>
      <c r="C211" s="249">
        <f t="shared" si="65"/>
        <v>0</v>
      </c>
      <c r="D211" s="250">
        <f t="shared" si="66"/>
        <v>0</v>
      </c>
      <c r="E211" s="217">
        <f t="shared" si="66"/>
        <v>0</v>
      </c>
      <c r="F211" s="251"/>
      <c r="G211" s="216">
        <f t="shared" si="67"/>
        <v>0</v>
      </c>
      <c r="H211" s="216">
        <f t="shared" si="68"/>
        <v>0</v>
      </c>
      <c r="I211" s="217">
        <f t="shared" si="68"/>
        <v>0</v>
      </c>
    </row>
    <row r="212" spans="1:9" x14ac:dyDescent="0.25">
      <c r="A212" s="213" t="s">
        <v>126</v>
      </c>
      <c r="B212" s="248"/>
      <c r="C212" s="249">
        <f t="shared" si="65"/>
        <v>0</v>
      </c>
      <c r="D212" s="250">
        <f t="shared" si="66"/>
        <v>0</v>
      </c>
      <c r="E212" s="217">
        <f t="shared" si="66"/>
        <v>0</v>
      </c>
      <c r="F212" s="251"/>
      <c r="G212" s="216">
        <f t="shared" si="67"/>
        <v>0</v>
      </c>
      <c r="H212" s="216">
        <f t="shared" si="68"/>
        <v>0</v>
      </c>
      <c r="I212" s="217">
        <f t="shared" si="68"/>
        <v>0</v>
      </c>
    </row>
    <row r="213" spans="1:9" x14ac:dyDescent="0.25">
      <c r="A213" s="213" t="s">
        <v>128</v>
      </c>
      <c r="B213" s="248"/>
      <c r="C213" s="249">
        <f t="shared" si="65"/>
        <v>0</v>
      </c>
      <c r="D213" s="250">
        <f t="shared" si="66"/>
        <v>0</v>
      </c>
      <c r="E213" s="217">
        <f t="shared" si="66"/>
        <v>0</v>
      </c>
      <c r="F213" s="251"/>
      <c r="G213" s="216">
        <f t="shared" si="67"/>
        <v>0</v>
      </c>
      <c r="H213" s="216">
        <f t="shared" si="68"/>
        <v>0</v>
      </c>
      <c r="I213" s="217">
        <f t="shared" si="68"/>
        <v>0</v>
      </c>
    </row>
    <row r="214" spans="1:9" ht="17.25" thickBot="1" x14ac:dyDescent="0.3">
      <c r="A214" s="218" t="s">
        <v>129</v>
      </c>
      <c r="B214" s="252">
        <v>1000</v>
      </c>
      <c r="C214" s="253">
        <f t="shared" si="65"/>
        <v>41.666666666666664</v>
      </c>
      <c r="D214" s="254">
        <f t="shared" si="66"/>
        <v>93.896713615023472</v>
      </c>
      <c r="E214" s="222">
        <f t="shared" si="66"/>
        <v>3.9123630672926444</v>
      </c>
      <c r="F214" s="255">
        <v>1000</v>
      </c>
      <c r="G214" s="221">
        <f t="shared" si="67"/>
        <v>41.666666666666664</v>
      </c>
      <c r="H214" s="221">
        <f t="shared" si="68"/>
        <v>93.896713615023472</v>
      </c>
      <c r="I214" s="222">
        <f t="shared" si="68"/>
        <v>3.9123630672926444</v>
      </c>
    </row>
    <row r="215" spans="1:9" ht="17.25" thickBot="1" x14ac:dyDescent="0.3">
      <c r="A215" s="223" t="s">
        <v>132</v>
      </c>
      <c r="B215" s="292">
        <v>1000</v>
      </c>
      <c r="C215" s="256">
        <f t="shared" si="65"/>
        <v>41.666666666666664</v>
      </c>
      <c r="D215" s="257">
        <f t="shared" si="66"/>
        <v>93.896713615023472</v>
      </c>
      <c r="E215" s="233">
        <f t="shared" si="66"/>
        <v>3.9123630672926444</v>
      </c>
      <c r="F215" s="240">
        <v>0</v>
      </c>
      <c r="G215" s="232">
        <f t="shared" si="67"/>
        <v>0</v>
      </c>
      <c r="H215" s="232">
        <f t="shared" si="68"/>
        <v>0</v>
      </c>
      <c r="I215" s="233">
        <f t="shared" si="68"/>
        <v>0</v>
      </c>
    </row>
    <row r="216" spans="1:9" x14ac:dyDescent="0.25">
      <c r="A216" s="208" t="s">
        <v>133</v>
      </c>
      <c r="B216" s="245"/>
      <c r="C216" s="246">
        <f t="shared" si="65"/>
        <v>0</v>
      </c>
      <c r="D216" s="247">
        <f t="shared" si="66"/>
        <v>0</v>
      </c>
      <c r="E216" s="212">
        <f t="shared" si="66"/>
        <v>0</v>
      </c>
      <c r="F216" s="239"/>
      <c r="G216" s="211">
        <f t="shared" si="67"/>
        <v>0</v>
      </c>
      <c r="H216" s="211">
        <f t="shared" si="68"/>
        <v>0</v>
      </c>
      <c r="I216" s="212">
        <f t="shared" si="68"/>
        <v>0</v>
      </c>
    </row>
    <row r="217" spans="1:9" x14ac:dyDescent="0.25">
      <c r="A217" s="213" t="s">
        <v>134</v>
      </c>
      <c r="B217" s="248">
        <v>0</v>
      </c>
      <c r="C217" s="249">
        <f t="shared" si="65"/>
        <v>0</v>
      </c>
      <c r="D217" s="250">
        <f t="shared" si="66"/>
        <v>0</v>
      </c>
      <c r="E217" s="217">
        <f t="shared" si="66"/>
        <v>0</v>
      </c>
      <c r="F217" s="251">
        <v>0</v>
      </c>
      <c r="G217" s="216">
        <f t="shared" si="67"/>
        <v>0</v>
      </c>
      <c r="H217" s="216">
        <f t="shared" si="68"/>
        <v>0</v>
      </c>
      <c r="I217" s="217">
        <f t="shared" si="68"/>
        <v>0</v>
      </c>
    </row>
    <row r="218" spans="1:9" x14ac:dyDescent="0.25">
      <c r="A218" s="213" t="s">
        <v>135</v>
      </c>
      <c r="B218" s="248">
        <v>1000</v>
      </c>
      <c r="C218" s="249">
        <f t="shared" si="65"/>
        <v>41.666666666666664</v>
      </c>
      <c r="D218" s="250">
        <f t="shared" si="66"/>
        <v>93.896713615023472</v>
      </c>
      <c r="E218" s="217">
        <f t="shared" si="66"/>
        <v>3.9123630672926444</v>
      </c>
      <c r="F218" s="251"/>
      <c r="G218" s="216">
        <f t="shared" si="67"/>
        <v>0</v>
      </c>
      <c r="H218" s="216">
        <f t="shared" si="68"/>
        <v>0</v>
      </c>
      <c r="I218" s="217">
        <f t="shared" si="68"/>
        <v>0</v>
      </c>
    </row>
    <row r="219" spans="1:9" x14ac:dyDescent="0.25">
      <c r="A219" s="213" t="s">
        <v>136</v>
      </c>
      <c r="B219" s="248"/>
      <c r="C219" s="249">
        <f t="shared" si="65"/>
        <v>0</v>
      </c>
      <c r="D219" s="250">
        <f t="shared" si="66"/>
        <v>0</v>
      </c>
      <c r="E219" s="217">
        <f t="shared" si="66"/>
        <v>0</v>
      </c>
      <c r="F219" s="251"/>
      <c r="G219" s="216">
        <f t="shared" si="67"/>
        <v>0</v>
      </c>
      <c r="H219" s="216">
        <f t="shared" si="68"/>
        <v>0</v>
      </c>
      <c r="I219" s="217">
        <f t="shared" si="68"/>
        <v>0</v>
      </c>
    </row>
    <row r="220" spans="1:9" x14ac:dyDescent="0.25">
      <c r="A220" s="213" t="s">
        <v>137</v>
      </c>
      <c r="B220" s="248"/>
      <c r="C220" s="249">
        <f t="shared" si="65"/>
        <v>0</v>
      </c>
      <c r="D220" s="250">
        <f t="shared" si="66"/>
        <v>0</v>
      </c>
      <c r="E220" s="217">
        <f t="shared" si="66"/>
        <v>0</v>
      </c>
      <c r="F220" s="251"/>
      <c r="G220" s="216">
        <f t="shared" si="67"/>
        <v>0</v>
      </c>
      <c r="H220" s="216">
        <f t="shared" si="68"/>
        <v>0</v>
      </c>
      <c r="I220" s="217">
        <f t="shared" si="68"/>
        <v>0</v>
      </c>
    </row>
    <row r="221" spans="1:9" ht="17.25" thickBot="1" x14ac:dyDescent="0.3">
      <c r="A221" s="218" t="s">
        <v>139</v>
      </c>
      <c r="B221" s="258"/>
      <c r="C221" s="259">
        <f t="shared" si="65"/>
        <v>0</v>
      </c>
      <c r="D221" s="260">
        <f t="shared" si="66"/>
        <v>0</v>
      </c>
      <c r="E221" s="229">
        <f t="shared" si="66"/>
        <v>0</v>
      </c>
      <c r="F221" s="261"/>
      <c r="G221" s="228">
        <f t="shared" si="67"/>
        <v>0</v>
      </c>
      <c r="H221" s="228">
        <f t="shared" si="68"/>
        <v>0</v>
      </c>
      <c r="I221" s="229">
        <f t="shared" si="68"/>
        <v>0</v>
      </c>
    </row>
    <row r="222" spans="1:9" ht="17.25" thickBot="1" x14ac:dyDescent="0.3">
      <c r="A222" s="293" t="s">
        <v>29</v>
      </c>
      <c r="B222" s="507"/>
      <c r="C222" s="505"/>
      <c r="D222" s="505"/>
      <c r="E222" s="505"/>
      <c r="F222" s="505"/>
      <c r="G222" s="505"/>
      <c r="H222" s="505"/>
      <c r="I222" s="506"/>
    </row>
    <row r="223" spans="1:9" ht="17.25" thickBot="1" x14ac:dyDescent="0.3">
      <c r="A223" s="79" t="s">
        <v>122</v>
      </c>
      <c r="B223" s="263">
        <v>1000</v>
      </c>
      <c r="C223" s="264">
        <f t="shared" ref="C223:C234" si="69">B223/$N$1</f>
        <v>41.666666666666664</v>
      </c>
      <c r="D223" s="265">
        <f t="shared" ref="D223:E234" si="70">B223/10.65</f>
        <v>93.896713615023472</v>
      </c>
      <c r="E223" s="266">
        <f t="shared" si="70"/>
        <v>3.9123630672926444</v>
      </c>
      <c r="F223" s="263">
        <v>1000</v>
      </c>
      <c r="G223" s="267">
        <f t="shared" ref="G223:G234" si="71">F223/$N$1</f>
        <v>41.666666666666664</v>
      </c>
      <c r="H223" s="267">
        <f t="shared" ref="H223:I234" si="72">F223/10.65</f>
        <v>93.896713615023472</v>
      </c>
      <c r="I223" s="266">
        <f t="shared" si="72"/>
        <v>3.9123630672926444</v>
      </c>
    </row>
    <row r="224" spans="1:9" x14ac:dyDescent="0.25">
      <c r="A224" s="94" t="s">
        <v>124</v>
      </c>
      <c r="B224" s="280"/>
      <c r="C224" s="281">
        <f t="shared" si="69"/>
        <v>0</v>
      </c>
      <c r="D224" s="282">
        <f t="shared" si="70"/>
        <v>0</v>
      </c>
      <c r="E224" s="283">
        <f t="shared" si="70"/>
        <v>0</v>
      </c>
      <c r="F224" s="294"/>
      <c r="G224" s="285">
        <f t="shared" si="71"/>
        <v>0</v>
      </c>
      <c r="H224" s="285">
        <f t="shared" si="72"/>
        <v>0</v>
      </c>
      <c r="I224" s="283">
        <f t="shared" si="72"/>
        <v>0</v>
      </c>
    </row>
    <row r="225" spans="1:9" x14ac:dyDescent="0.25">
      <c r="A225" s="94" t="s">
        <v>126</v>
      </c>
      <c r="B225" s="268"/>
      <c r="C225" s="269">
        <f t="shared" si="69"/>
        <v>0</v>
      </c>
      <c r="D225" s="270">
        <f t="shared" si="70"/>
        <v>0</v>
      </c>
      <c r="E225" s="271">
        <f t="shared" si="70"/>
        <v>0</v>
      </c>
      <c r="F225" s="294"/>
      <c r="G225" s="285">
        <f t="shared" si="71"/>
        <v>0</v>
      </c>
      <c r="H225" s="285">
        <f t="shared" si="72"/>
        <v>0</v>
      </c>
      <c r="I225" s="283">
        <f t="shared" si="72"/>
        <v>0</v>
      </c>
    </row>
    <row r="226" spans="1:9" x14ac:dyDescent="0.25">
      <c r="A226" s="94" t="s">
        <v>128</v>
      </c>
      <c r="B226" s="268"/>
      <c r="C226" s="269">
        <f t="shared" si="69"/>
        <v>0</v>
      </c>
      <c r="D226" s="270">
        <f t="shared" si="70"/>
        <v>0</v>
      </c>
      <c r="E226" s="271">
        <f t="shared" si="70"/>
        <v>0</v>
      </c>
      <c r="F226" s="294"/>
      <c r="G226" s="285">
        <f t="shared" si="71"/>
        <v>0</v>
      </c>
      <c r="H226" s="285">
        <f t="shared" si="72"/>
        <v>0</v>
      </c>
      <c r="I226" s="283">
        <f t="shared" si="72"/>
        <v>0</v>
      </c>
    </row>
    <row r="227" spans="1:9" ht="17.25" thickBot="1" x14ac:dyDescent="0.3">
      <c r="A227" s="100" t="s">
        <v>129</v>
      </c>
      <c r="B227" s="274">
        <v>1000</v>
      </c>
      <c r="C227" s="275">
        <f t="shared" si="69"/>
        <v>41.666666666666664</v>
      </c>
      <c r="D227" s="276">
        <f t="shared" si="70"/>
        <v>93.896713615023472</v>
      </c>
      <c r="E227" s="277">
        <f t="shared" si="70"/>
        <v>3.9123630672926444</v>
      </c>
      <c r="F227" s="295">
        <v>1000</v>
      </c>
      <c r="G227" s="296">
        <f t="shared" si="71"/>
        <v>41.666666666666664</v>
      </c>
      <c r="H227" s="296">
        <f t="shared" si="72"/>
        <v>93.896713615023472</v>
      </c>
      <c r="I227" s="297">
        <f t="shared" si="72"/>
        <v>3.9123630672926444</v>
      </c>
    </row>
    <row r="228" spans="1:9" ht="17.25" thickBot="1" x14ac:dyDescent="0.3">
      <c r="A228" s="108" t="s">
        <v>132</v>
      </c>
      <c r="B228" s="298">
        <v>1000</v>
      </c>
      <c r="C228" s="264">
        <f t="shared" si="69"/>
        <v>41.666666666666664</v>
      </c>
      <c r="D228" s="265">
        <f t="shared" si="70"/>
        <v>93.896713615023472</v>
      </c>
      <c r="E228" s="266">
        <f t="shared" si="70"/>
        <v>3.9123630672926444</v>
      </c>
      <c r="F228" s="263">
        <v>0</v>
      </c>
      <c r="G228" s="267">
        <f t="shared" si="71"/>
        <v>0</v>
      </c>
      <c r="H228" s="267">
        <f t="shared" si="72"/>
        <v>0</v>
      </c>
      <c r="I228" s="266">
        <f t="shared" si="72"/>
        <v>0</v>
      </c>
    </row>
    <row r="229" spans="1:9" x14ac:dyDescent="0.25">
      <c r="A229" s="86" t="s">
        <v>133</v>
      </c>
      <c r="B229" s="280"/>
      <c r="C229" s="281">
        <f t="shared" si="69"/>
        <v>0</v>
      </c>
      <c r="D229" s="282">
        <f t="shared" si="70"/>
        <v>0</v>
      </c>
      <c r="E229" s="283">
        <f t="shared" si="70"/>
        <v>0</v>
      </c>
      <c r="F229" s="299"/>
      <c r="G229" s="300">
        <f t="shared" si="71"/>
        <v>0</v>
      </c>
      <c r="H229" s="300">
        <f t="shared" si="72"/>
        <v>0</v>
      </c>
      <c r="I229" s="301">
        <f t="shared" si="72"/>
        <v>0</v>
      </c>
    </row>
    <row r="230" spans="1:9" x14ac:dyDescent="0.25">
      <c r="A230" s="94" t="s">
        <v>134</v>
      </c>
      <c r="B230" s="268">
        <v>0</v>
      </c>
      <c r="C230" s="269">
        <f t="shared" si="69"/>
        <v>0</v>
      </c>
      <c r="D230" s="270">
        <f t="shared" si="70"/>
        <v>0</v>
      </c>
      <c r="E230" s="271">
        <f t="shared" si="70"/>
        <v>0</v>
      </c>
      <c r="F230" s="294">
        <v>0</v>
      </c>
      <c r="G230" s="285">
        <f t="shared" si="71"/>
        <v>0</v>
      </c>
      <c r="H230" s="285">
        <f t="shared" si="72"/>
        <v>0</v>
      </c>
      <c r="I230" s="283">
        <f t="shared" si="72"/>
        <v>0</v>
      </c>
    </row>
    <row r="231" spans="1:9" x14ac:dyDescent="0.25">
      <c r="A231" s="94" t="s">
        <v>135</v>
      </c>
      <c r="B231" s="268">
        <v>1000</v>
      </c>
      <c r="C231" s="269">
        <f t="shared" si="69"/>
        <v>41.666666666666664</v>
      </c>
      <c r="D231" s="270">
        <f t="shared" si="70"/>
        <v>93.896713615023472</v>
      </c>
      <c r="E231" s="271">
        <f t="shared" si="70"/>
        <v>3.9123630672926444</v>
      </c>
      <c r="F231" s="294"/>
      <c r="G231" s="285">
        <f t="shared" si="71"/>
        <v>0</v>
      </c>
      <c r="H231" s="285">
        <f t="shared" si="72"/>
        <v>0</v>
      </c>
      <c r="I231" s="283">
        <f t="shared" si="72"/>
        <v>0</v>
      </c>
    </row>
    <row r="232" spans="1:9" x14ac:dyDescent="0.25">
      <c r="A232" s="94" t="s">
        <v>136</v>
      </c>
      <c r="B232" s="268"/>
      <c r="C232" s="269">
        <f t="shared" si="69"/>
        <v>0</v>
      </c>
      <c r="D232" s="270">
        <f t="shared" si="70"/>
        <v>0</v>
      </c>
      <c r="E232" s="271">
        <f t="shared" si="70"/>
        <v>0</v>
      </c>
      <c r="F232" s="294"/>
      <c r="G232" s="285">
        <f t="shared" si="71"/>
        <v>0</v>
      </c>
      <c r="H232" s="285">
        <f t="shared" si="72"/>
        <v>0</v>
      </c>
      <c r="I232" s="283">
        <f t="shared" si="72"/>
        <v>0</v>
      </c>
    </row>
    <row r="233" spans="1:9" x14ac:dyDescent="0.25">
      <c r="A233" s="94" t="s">
        <v>137</v>
      </c>
      <c r="B233" s="268"/>
      <c r="C233" s="269">
        <f t="shared" si="69"/>
        <v>0</v>
      </c>
      <c r="D233" s="270">
        <f t="shared" si="70"/>
        <v>0</v>
      </c>
      <c r="E233" s="271">
        <f t="shared" si="70"/>
        <v>0</v>
      </c>
      <c r="F233" s="294"/>
      <c r="G233" s="285">
        <f t="shared" si="71"/>
        <v>0</v>
      </c>
      <c r="H233" s="285">
        <f t="shared" si="72"/>
        <v>0</v>
      </c>
      <c r="I233" s="283">
        <f t="shared" si="72"/>
        <v>0</v>
      </c>
    </row>
    <row r="234" spans="1:9" ht="17.25" thickBot="1" x14ac:dyDescent="0.3">
      <c r="A234" s="119" t="s">
        <v>139</v>
      </c>
      <c r="B234" s="286"/>
      <c r="C234" s="287">
        <f t="shared" si="69"/>
        <v>0</v>
      </c>
      <c r="D234" s="288">
        <f t="shared" si="70"/>
        <v>0</v>
      </c>
      <c r="E234" s="289">
        <f t="shared" si="70"/>
        <v>0</v>
      </c>
      <c r="F234" s="295"/>
      <c r="G234" s="296">
        <f t="shared" si="71"/>
        <v>0</v>
      </c>
      <c r="H234" s="296">
        <f t="shared" si="72"/>
        <v>0</v>
      </c>
      <c r="I234" s="297">
        <f t="shared" si="72"/>
        <v>0</v>
      </c>
    </row>
    <row r="236" spans="1:9" x14ac:dyDescent="0.25">
      <c r="A236" s="4" t="s">
        <v>147</v>
      </c>
    </row>
    <row r="237" spans="1:9" x14ac:dyDescent="0.25">
      <c r="A237" s="4" t="s">
        <v>148</v>
      </c>
    </row>
    <row r="239" spans="1:9" x14ac:dyDescent="0.25">
      <c r="A239" s="4" t="s">
        <v>149</v>
      </c>
    </row>
    <row r="240" spans="1:9" x14ac:dyDescent="0.25">
      <c r="A240" s="4" t="s">
        <v>150</v>
      </c>
    </row>
    <row r="242" spans="1:3" x14ac:dyDescent="0.25">
      <c r="A242" s="4" t="s">
        <v>85</v>
      </c>
    </row>
    <row r="243" spans="1:3" x14ac:dyDescent="0.25">
      <c r="A243" s="4" t="s">
        <v>151</v>
      </c>
    </row>
    <row r="245" spans="1:3" x14ac:dyDescent="0.25">
      <c r="A245" s="4" t="s">
        <v>87</v>
      </c>
    </row>
    <row r="246" spans="1:3" x14ac:dyDescent="0.25">
      <c r="A246" s="4" t="s">
        <v>152</v>
      </c>
    </row>
    <row r="248" spans="1:3" ht="18" x14ac:dyDescent="0.25">
      <c r="A248" s="479" t="s">
        <v>226</v>
      </c>
      <c r="B248" s="479"/>
      <c r="C248"/>
    </row>
    <row r="249" spans="1:3" ht="33" x14ac:dyDescent="0.25">
      <c r="A249" s="384" t="s">
        <v>153</v>
      </c>
      <c r="B249" s="385" t="s">
        <v>227</v>
      </c>
      <c r="C249"/>
    </row>
    <row r="250" spans="1:3" x14ac:dyDescent="0.25">
      <c r="A250" s="386"/>
      <c r="B250" s="387" t="s">
        <v>2</v>
      </c>
      <c r="C250" s="69" t="s">
        <v>3</v>
      </c>
    </row>
    <row r="251" spans="1:3" x14ac:dyDescent="0.25">
      <c r="A251" s="388" t="s">
        <v>6</v>
      </c>
      <c r="B251" s="389">
        <v>618454.741713</v>
      </c>
      <c r="C251" s="22">
        <f t="shared" ref="C251:C256" si="73">B251/24</f>
        <v>25768.947571375</v>
      </c>
    </row>
    <row r="252" spans="1:3" x14ac:dyDescent="0.3">
      <c r="A252" s="388" t="s">
        <v>154</v>
      </c>
      <c r="B252" s="390">
        <v>163368.66989200001</v>
      </c>
      <c r="C252" s="22">
        <f t="shared" si="73"/>
        <v>6807.0279121666672</v>
      </c>
    </row>
    <row r="253" spans="1:3" x14ac:dyDescent="0.25">
      <c r="A253" s="391" t="s">
        <v>7</v>
      </c>
      <c r="B253" s="389">
        <f>B254+B255+B256</f>
        <v>696859.46737800119</v>
      </c>
      <c r="C253" s="22">
        <f t="shared" si="73"/>
        <v>29035.811140750051</v>
      </c>
    </row>
    <row r="254" spans="1:3" x14ac:dyDescent="0.3">
      <c r="A254" s="392" t="s">
        <v>155</v>
      </c>
      <c r="B254" s="390">
        <v>0</v>
      </c>
      <c r="C254" s="22">
        <f t="shared" si="73"/>
        <v>0</v>
      </c>
    </row>
    <row r="255" spans="1:3" x14ac:dyDescent="0.25">
      <c r="A255" s="392" t="s">
        <v>156</v>
      </c>
      <c r="B255" s="393">
        <v>548378.58886100119</v>
      </c>
      <c r="C255" s="22">
        <f t="shared" si="73"/>
        <v>22849.107869208383</v>
      </c>
    </row>
    <row r="256" spans="1:3" x14ac:dyDescent="0.25">
      <c r="A256" s="392" t="s">
        <v>157</v>
      </c>
      <c r="B256" s="393">
        <v>148480.878517</v>
      </c>
      <c r="C256" s="22">
        <f t="shared" si="73"/>
        <v>6186.7032715416672</v>
      </c>
    </row>
  </sheetData>
  <mergeCells count="30">
    <mergeCell ref="A77:A78"/>
    <mergeCell ref="B77:E77"/>
    <mergeCell ref="F77:I77"/>
    <mergeCell ref="A248:B248"/>
    <mergeCell ref="B92:I92"/>
    <mergeCell ref="B105:I105"/>
    <mergeCell ref="B118:I118"/>
    <mergeCell ref="B131:I131"/>
    <mergeCell ref="B144:I144"/>
    <mergeCell ref="B157:I157"/>
    <mergeCell ref="B170:I170"/>
    <mergeCell ref="B183:I183"/>
    <mergeCell ref="B196:I196"/>
    <mergeCell ref="B209:I209"/>
    <mergeCell ref="B222:I222"/>
    <mergeCell ref="B79:I79"/>
    <mergeCell ref="B62:E62"/>
    <mergeCell ref="F62:I62"/>
    <mergeCell ref="A2:I2"/>
    <mergeCell ref="B3:E3"/>
    <mergeCell ref="F3:I3"/>
    <mergeCell ref="A21:A22"/>
    <mergeCell ref="B21:E21"/>
    <mergeCell ref="F21:I21"/>
    <mergeCell ref="B23:E23"/>
    <mergeCell ref="F23:I23"/>
    <mergeCell ref="B36:E36"/>
    <mergeCell ref="F36:I36"/>
    <mergeCell ref="B49:E49"/>
    <mergeCell ref="F49:I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Footer>&amp;L&amp;P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O256"/>
  <sheetViews>
    <sheetView showGridLines="0" view="pageBreakPreview" topLeftCell="B1" zoomScale="110" zoomScaleNormal="100" zoomScaleSheetLayoutView="110" workbookViewId="0">
      <selection activeCell="A2" sqref="A2:I2"/>
    </sheetView>
  </sheetViews>
  <sheetFormatPr defaultColWidth="9.140625" defaultRowHeight="16.5" x14ac:dyDescent="0.25"/>
  <cols>
    <col min="1" max="1" width="52.7109375" style="4" customWidth="1"/>
    <col min="2" max="2" width="15.85546875" style="4" customWidth="1"/>
    <col min="3" max="3" width="13.7109375" style="4" customWidth="1"/>
    <col min="4" max="5" width="14" style="4" customWidth="1"/>
    <col min="6" max="6" width="15.140625" style="4" customWidth="1"/>
    <col min="7" max="7" width="12.85546875" style="4" customWidth="1"/>
    <col min="8" max="8" width="11.85546875" style="4" customWidth="1"/>
    <col min="9" max="9" width="10.85546875" style="4" customWidth="1"/>
    <col min="10" max="10" width="38.42578125" style="4" hidden="1" customWidth="1"/>
    <col min="11" max="11" width="11.85546875" style="4" hidden="1" customWidth="1"/>
    <col min="12" max="12" width="0" style="4" hidden="1" customWidth="1"/>
    <col min="13" max="16384" width="9.140625" style="4"/>
  </cols>
  <sheetData>
    <row r="1" spans="1:15" ht="17.25" x14ac:dyDescent="0.25">
      <c r="A1" s="1" t="s">
        <v>1</v>
      </c>
      <c r="B1" s="1"/>
      <c r="C1" s="1"/>
      <c r="D1" s="2"/>
      <c r="E1" s="2"/>
      <c r="F1" s="2"/>
      <c r="G1" s="201">
        <f>G5-G6</f>
        <v>25163.451384543365</v>
      </c>
      <c r="H1" s="2"/>
      <c r="I1" s="3" t="s">
        <v>116</v>
      </c>
      <c r="N1" s="4">
        <v>24</v>
      </c>
      <c r="O1" s="4">
        <v>10.65</v>
      </c>
    </row>
    <row r="2" spans="1:15" s="2" customFormat="1" ht="29.25" customHeight="1" thickBot="1" x14ac:dyDescent="0.3">
      <c r="A2" s="479" t="s">
        <v>248</v>
      </c>
      <c r="B2" s="479"/>
      <c r="C2" s="479"/>
      <c r="D2" s="479"/>
      <c r="E2" s="479"/>
      <c r="F2" s="479"/>
      <c r="G2" s="479"/>
      <c r="H2" s="479"/>
      <c r="I2" s="479"/>
      <c r="J2" s="2" t="s">
        <v>117</v>
      </c>
    </row>
    <row r="3" spans="1:15" s="5" customFormat="1" ht="99" x14ac:dyDescent="0.25">
      <c r="A3" s="73" t="s">
        <v>118</v>
      </c>
      <c r="B3" s="480" t="s">
        <v>119</v>
      </c>
      <c r="C3" s="481"/>
      <c r="D3" s="481"/>
      <c r="E3" s="482"/>
      <c r="F3" s="483" t="s">
        <v>120</v>
      </c>
      <c r="G3" s="481"/>
      <c r="H3" s="481"/>
      <c r="I3" s="482"/>
      <c r="J3" s="5" t="s">
        <v>121</v>
      </c>
    </row>
    <row r="4" spans="1:15" ht="17.25" thickBot="1" x14ac:dyDescent="0.3">
      <c r="A4" s="74"/>
      <c r="B4" s="75" t="s">
        <v>2</v>
      </c>
      <c r="C4" s="76" t="s">
        <v>3</v>
      </c>
      <c r="D4" s="76" t="s">
        <v>4</v>
      </c>
      <c r="E4" s="77" t="s">
        <v>5</v>
      </c>
      <c r="F4" s="78" t="s">
        <v>2</v>
      </c>
      <c r="G4" s="76" t="s">
        <v>3</v>
      </c>
      <c r="H4" s="76" t="s">
        <v>4</v>
      </c>
      <c r="I4" s="77" t="s">
        <v>5</v>
      </c>
      <c r="K4" s="6"/>
    </row>
    <row r="5" spans="1:15" ht="17.25" thickBot="1" x14ac:dyDescent="0.3">
      <c r="A5" s="79" t="s">
        <v>122</v>
      </c>
      <c r="B5" s="80">
        <f>SUM(B6:B10)</f>
        <v>356856.57578800002</v>
      </c>
      <c r="C5" s="81">
        <f t="shared" ref="C5:C15" si="0">B5/24</f>
        <v>14869.023991166667</v>
      </c>
      <c r="D5" s="81">
        <f>B5/10.65</f>
        <v>33507.659698403753</v>
      </c>
      <c r="E5" s="82">
        <f>C5/10.65</f>
        <v>1396.1524874334898</v>
      </c>
      <c r="F5" s="83">
        <f>SUM(F6:F11)</f>
        <v>626388.48574520065</v>
      </c>
      <c r="G5" s="84">
        <f t="shared" ref="G5:G18" si="1">F5/$N$1</f>
        <v>26099.520239383361</v>
      </c>
      <c r="H5" s="84">
        <f>F5/10.65</f>
        <v>58815.820257765321</v>
      </c>
      <c r="I5" s="85">
        <f>G5/10.65</f>
        <v>2450.6591774068884</v>
      </c>
      <c r="K5" s="4">
        <v>376948.48574520025</v>
      </c>
    </row>
    <row r="6" spans="1:15" x14ac:dyDescent="0.25">
      <c r="A6" s="86" t="s">
        <v>123</v>
      </c>
      <c r="B6" s="87">
        <v>21268.200120000001</v>
      </c>
      <c r="C6" s="88">
        <f t="shared" si="0"/>
        <v>886.17500500000006</v>
      </c>
      <c r="D6" s="88">
        <f t="shared" ref="D6:E10" si="2">B6/10.65</f>
        <v>1997.014095774648</v>
      </c>
      <c r="E6" s="89">
        <f t="shared" si="2"/>
        <v>83.208920657276991</v>
      </c>
      <c r="F6" s="90">
        <v>22465.652516159895</v>
      </c>
      <c r="G6" s="91">
        <f t="shared" si="1"/>
        <v>936.06885483999565</v>
      </c>
      <c r="H6" s="91">
        <f t="shared" ref="H6:I11" si="3">F6/10.65</f>
        <v>2109.4509404844971</v>
      </c>
      <c r="I6" s="92">
        <f t="shared" si="3"/>
        <v>87.89378918685405</v>
      </c>
      <c r="K6" s="93">
        <f>B6/$B$5</f>
        <v>5.9598733953651263E-2</v>
      </c>
    </row>
    <row r="7" spans="1:15" x14ac:dyDescent="0.25">
      <c r="A7" s="94" t="s">
        <v>124</v>
      </c>
      <c r="B7" s="7">
        <v>20223.833793999998</v>
      </c>
      <c r="C7" s="8">
        <f t="shared" si="0"/>
        <v>842.65974141666663</v>
      </c>
      <c r="D7" s="8">
        <f t="shared" si="2"/>
        <v>1898.9515299530515</v>
      </c>
      <c r="E7" s="9">
        <f t="shared" si="2"/>
        <v>79.122980414710483</v>
      </c>
      <c r="F7" s="90">
        <v>21101.821776750101</v>
      </c>
      <c r="G7" s="95">
        <f t="shared" si="1"/>
        <v>879.24257403125421</v>
      </c>
      <c r="H7" s="95">
        <f t="shared" si="3"/>
        <v>1981.39171612677</v>
      </c>
      <c r="I7" s="96">
        <f t="shared" si="3"/>
        <v>82.55798817194875</v>
      </c>
      <c r="J7" s="4" t="s">
        <v>125</v>
      </c>
      <c r="K7" s="93">
        <f>B7/$B$5</f>
        <v>5.6672162336766065E-2</v>
      </c>
    </row>
    <row r="8" spans="1:15" x14ac:dyDescent="0.25">
      <c r="A8" s="94" t="s">
        <v>126</v>
      </c>
      <c r="B8" s="7">
        <v>240.25327100000001</v>
      </c>
      <c r="C8" s="8">
        <f t="shared" si="0"/>
        <v>10.010552958333333</v>
      </c>
      <c r="D8" s="8">
        <f t="shared" si="2"/>
        <v>22.558992582159625</v>
      </c>
      <c r="E8" s="9">
        <f t="shared" si="2"/>
        <v>0.93995802425665098</v>
      </c>
      <c r="F8" s="90">
        <v>514.44412580769301</v>
      </c>
      <c r="G8" s="95">
        <f t="shared" si="1"/>
        <v>21.435171908653874</v>
      </c>
      <c r="H8" s="95">
        <f t="shared" si="3"/>
        <v>48.304612751896059</v>
      </c>
      <c r="I8" s="96">
        <f t="shared" si="3"/>
        <v>2.0126921979956687</v>
      </c>
      <c r="J8" s="4" t="s">
        <v>127</v>
      </c>
      <c r="K8" s="93">
        <f>B8/$B$5</f>
        <v>6.7324882684165178E-4</v>
      </c>
    </row>
    <row r="9" spans="1:15" x14ac:dyDescent="0.25">
      <c r="A9" s="396" t="s">
        <v>245</v>
      </c>
      <c r="B9" s="10">
        <v>0</v>
      </c>
      <c r="C9" s="11">
        <f t="shared" si="0"/>
        <v>0</v>
      </c>
      <c r="D9" s="11">
        <f t="shared" si="2"/>
        <v>0</v>
      </c>
      <c r="E9" s="97">
        <f t="shared" si="2"/>
        <v>0</v>
      </c>
      <c r="F9" s="90">
        <f>9760*24</f>
        <v>234240</v>
      </c>
      <c r="G9" s="98">
        <f t="shared" si="1"/>
        <v>9760</v>
      </c>
      <c r="H9" s="98">
        <f t="shared" si="3"/>
        <v>21994.366197183099</v>
      </c>
      <c r="I9" s="99">
        <f t="shared" si="3"/>
        <v>916.43192488262912</v>
      </c>
      <c r="K9" s="93">
        <f>B9/$B$5</f>
        <v>0</v>
      </c>
    </row>
    <row r="10" spans="1:15" x14ac:dyDescent="0.25">
      <c r="A10" s="100" t="s">
        <v>129</v>
      </c>
      <c r="B10" s="10">
        <v>315124.28860299999</v>
      </c>
      <c r="C10" s="11">
        <f t="shared" si="0"/>
        <v>13130.178691791667</v>
      </c>
      <c r="D10" s="11">
        <f t="shared" si="2"/>
        <v>29589.135080093896</v>
      </c>
      <c r="E10" s="97">
        <f t="shared" si="2"/>
        <v>1232.8806283372458</v>
      </c>
      <c r="F10" s="90">
        <f>332866.567326483-16600</f>
        <v>316266.56732648303</v>
      </c>
      <c r="G10" s="98">
        <f t="shared" si="1"/>
        <v>13177.773638603459</v>
      </c>
      <c r="H10" s="98">
        <f t="shared" si="3"/>
        <v>29696.391298261315</v>
      </c>
      <c r="I10" s="99">
        <f t="shared" si="3"/>
        <v>1237.3496374275549</v>
      </c>
      <c r="J10" s="4" t="s">
        <v>130</v>
      </c>
      <c r="K10" s="93">
        <f>B10/$B$5</f>
        <v>0.88305585488274096</v>
      </c>
    </row>
    <row r="11" spans="1:15" ht="17.25" thickBot="1" x14ac:dyDescent="0.3">
      <c r="A11" s="101" t="s">
        <v>244</v>
      </c>
      <c r="B11" s="102"/>
      <c r="C11" s="103"/>
      <c r="D11" s="103"/>
      <c r="E11" s="104"/>
      <c r="F11" s="105">
        <f>1325*24</f>
        <v>31800</v>
      </c>
      <c r="G11" s="106">
        <f t="shared" si="1"/>
        <v>1325</v>
      </c>
      <c r="H11" s="106">
        <f t="shared" si="3"/>
        <v>2985.9154929577462</v>
      </c>
      <c r="I11" s="107">
        <f t="shared" si="3"/>
        <v>124.4131455399061</v>
      </c>
      <c r="K11" s="93"/>
    </row>
    <row r="12" spans="1:15" s="13" customFormat="1" ht="17.25" thickBot="1" x14ac:dyDescent="0.3">
      <c r="A12" s="108" t="s">
        <v>132</v>
      </c>
      <c r="B12" s="80">
        <f>SUM(B13:B17)</f>
        <v>358051.94843899994</v>
      </c>
      <c r="C12" s="81">
        <f t="shared" si="0"/>
        <v>14918.831184958332</v>
      </c>
      <c r="D12" s="81">
        <f>B12/10.65</f>
        <v>33619.901261877931</v>
      </c>
      <c r="E12" s="82">
        <f>C12/10.65</f>
        <v>1400.8292192449137</v>
      </c>
      <c r="F12" s="109">
        <f>SUM(F13:F18)</f>
        <v>740317.05317956978</v>
      </c>
      <c r="G12" s="110">
        <f t="shared" si="1"/>
        <v>30846.543882482074</v>
      </c>
      <c r="H12" s="110">
        <f>F12/10.65</f>
        <v>69513.338326720172</v>
      </c>
      <c r="I12" s="111">
        <f>G12/10.65</f>
        <v>2896.3890969466734</v>
      </c>
      <c r="K12" s="112">
        <v>378401.87002456019</v>
      </c>
    </row>
    <row r="13" spans="1:15" s="13" customFormat="1" x14ac:dyDescent="0.25">
      <c r="A13" s="86" t="s">
        <v>133</v>
      </c>
      <c r="B13" s="87">
        <v>125550.84508500001</v>
      </c>
      <c r="C13" s="88">
        <f t="shared" si="0"/>
        <v>5231.2852118750006</v>
      </c>
      <c r="D13" s="88">
        <f t="shared" ref="D13:E18" si="4">B13/10.65</f>
        <v>11788.811745070423</v>
      </c>
      <c r="E13" s="89">
        <f t="shared" si="4"/>
        <v>491.20048937793433</v>
      </c>
      <c r="F13" s="113">
        <f>130154.463796421-16600</f>
        <v>113554.463796421</v>
      </c>
      <c r="G13" s="114">
        <f t="shared" si="1"/>
        <v>4731.4359915175419</v>
      </c>
      <c r="H13" s="114">
        <f t="shared" ref="H13:I18" si="5">F13/10.65</f>
        <v>10662.390966800092</v>
      </c>
      <c r="I13" s="115">
        <f t="shared" si="5"/>
        <v>444.26629028333724</v>
      </c>
      <c r="J13" s="4" t="s">
        <v>130</v>
      </c>
      <c r="K13" s="116">
        <v>0.35064980272377899</v>
      </c>
    </row>
    <row r="14" spans="1:15" s="13" customFormat="1" x14ac:dyDescent="0.25">
      <c r="A14" s="94" t="s">
        <v>134</v>
      </c>
      <c r="B14" s="7">
        <v>190818.23072699999</v>
      </c>
      <c r="C14" s="8">
        <f t="shared" si="0"/>
        <v>7950.7596136249995</v>
      </c>
      <c r="D14" s="8">
        <f t="shared" si="4"/>
        <v>17917.204763098591</v>
      </c>
      <c r="E14" s="9">
        <f t="shared" si="4"/>
        <v>746.55019846244124</v>
      </c>
      <c r="F14" s="117">
        <f>B255</f>
        <v>548378.58886100119</v>
      </c>
      <c r="G14" s="95">
        <f t="shared" si="1"/>
        <v>22849.107869208383</v>
      </c>
      <c r="H14" s="95">
        <f t="shared" si="5"/>
        <v>51490.94731089213</v>
      </c>
      <c r="I14" s="96">
        <f t="shared" si="5"/>
        <v>2145.4561379538386</v>
      </c>
      <c r="K14" s="116">
        <v>0.53293448495088702</v>
      </c>
    </row>
    <row r="15" spans="1:15" s="13" customFormat="1" x14ac:dyDescent="0.25">
      <c r="A15" s="94" t="s">
        <v>135</v>
      </c>
      <c r="B15" s="7">
        <v>41682.872626999997</v>
      </c>
      <c r="C15" s="8">
        <f t="shared" si="0"/>
        <v>1736.7863594583332</v>
      </c>
      <c r="D15" s="8">
        <f t="shared" si="4"/>
        <v>3913.8847537089196</v>
      </c>
      <c r="E15" s="9">
        <f t="shared" si="4"/>
        <v>163.07853140453832</v>
      </c>
      <c r="F15" s="117">
        <v>44051.923244147692</v>
      </c>
      <c r="G15" s="95">
        <f t="shared" si="1"/>
        <v>1835.4968018394873</v>
      </c>
      <c r="H15" s="95">
        <f t="shared" si="5"/>
        <v>4136.3308210467312</v>
      </c>
      <c r="I15" s="96">
        <f t="shared" si="5"/>
        <v>172.34711754361382</v>
      </c>
      <c r="K15" s="116">
        <v>0.11641571232533417</v>
      </c>
    </row>
    <row r="16" spans="1:15" s="13" customFormat="1" x14ac:dyDescent="0.25">
      <c r="A16" s="94" t="s">
        <v>136</v>
      </c>
      <c r="B16" s="7"/>
      <c r="C16" s="8"/>
      <c r="D16" s="8">
        <f t="shared" si="4"/>
        <v>0</v>
      </c>
      <c r="E16" s="9">
        <f t="shared" si="4"/>
        <v>0</v>
      </c>
      <c r="F16" s="117">
        <v>0</v>
      </c>
      <c r="G16" s="95">
        <f t="shared" si="1"/>
        <v>0</v>
      </c>
      <c r="H16" s="95">
        <f t="shared" si="5"/>
        <v>0</v>
      </c>
      <c r="I16" s="96">
        <f t="shared" si="5"/>
        <v>0</v>
      </c>
      <c r="K16" s="116">
        <v>0</v>
      </c>
    </row>
    <row r="17" spans="1:11" s="13" customFormat="1" ht="17.25" thickBot="1" x14ac:dyDescent="0.3">
      <c r="A17" s="94" t="s">
        <v>137</v>
      </c>
      <c r="B17" s="7"/>
      <c r="C17" s="8"/>
      <c r="D17" s="8">
        <f t="shared" si="4"/>
        <v>0</v>
      </c>
      <c r="E17" s="9">
        <f t="shared" si="4"/>
        <v>0</v>
      </c>
      <c r="F17" s="118">
        <f>2532.077278+F11</f>
        <v>34332.077277999997</v>
      </c>
      <c r="G17" s="95">
        <f t="shared" si="1"/>
        <v>1430.5032199166665</v>
      </c>
      <c r="H17" s="95">
        <f t="shared" si="5"/>
        <v>3223.66922798122</v>
      </c>
      <c r="I17" s="96">
        <f t="shared" si="5"/>
        <v>134.31955116588418</v>
      </c>
      <c r="J17" s="4" t="s">
        <v>138</v>
      </c>
      <c r="K17" s="116">
        <v>0</v>
      </c>
    </row>
    <row r="18" spans="1:11" s="13" customFormat="1" ht="17.25" thickBot="1" x14ac:dyDescent="0.3">
      <c r="A18" s="119" t="s">
        <v>139</v>
      </c>
      <c r="B18" s="12"/>
      <c r="C18" s="120"/>
      <c r="D18" s="120">
        <v>0</v>
      </c>
      <c r="E18" s="121">
        <f t="shared" si="4"/>
        <v>0</v>
      </c>
      <c r="F18" s="122">
        <v>0</v>
      </c>
      <c r="G18" s="123">
        <f t="shared" si="1"/>
        <v>0</v>
      </c>
      <c r="H18" s="123">
        <f t="shared" si="5"/>
        <v>0</v>
      </c>
      <c r="I18" s="124">
        <f t="shared" si="5"/>
        <v>0</v>
      </c>
      <c r="J18" s="83">
        <v>376948.48574520025</v>
      </c>
      <c r="K18" s="116">
        <v>0</v>
      </c>
    </row>
    <row r="19" spans="1:11" s="13" customFormat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25">
        <f>SUM(F6:F10)</f>
        <v>594588.48574520065</v>
      </c>
    </row>
    <row r="20" spans="1:11" ht="15" customHeight="1" thickBot="1" x14ac:dyDescent="0.3">
      <c r="A20" s="2"/>
      <c r="B20" s="2"/>
      <c r="C20" s="2"/>
      <c r="E20" s="16"/>
      <c r="F20" s="16"/>
      <c r="G20" s="16"/>
      <c r="H20" s="16"/>
      <c r="I20" s="16"/>
      <c r="J20" s="126">
        <f>J18-J19</f>
        <v>-217640.00000000041</v>
      </c>
    </row>
    <row r="21" spans="1:11" ht="18.75" customHeight="1" x14ac:dyDescent="0.25">
      <c r="A21" s="484" t="s">
        <v>8</v>
      </c>
      <c r="B21" s="486" t="s">
        <v>140</v>
      </c>
      <c r="C21" s="487"/>
      <c r="D21" s="487"/>
      <c r="E21" s="488"/>
      <c r="F21" s="489" t="s">
        <v>141</v>
      </c>
      <c r="G21" s="487"/>
      <c r="H21" s="487"/>
      <c r="I21" s="488"/>
    </row>
    <row r="22" spans="1:11" x14ac:dyDescent="0.25">
      <c r="A22" s="485"/>
      <c r="B22" s="68" t="s">
        <v>2</v>
      </c>
      <c r="C22" s="69" t="s">
        <v>3</v>
      </c>
      <c r="D22" s="69" t="s">
        <v>4</v>
      </c>
      <c r="E22" s="70" t="s">
        <v>5</v>
      </c>
      <c r="F22" s="127" t="s">
        <v>2</v>
      </c>
      <c r="G22" s="69" t="s">
        <v>3</v>
      </c>
      <c r="H22" s="69" t="s">
        <v>4</v>
      </c>
      <c r="I22" s="70" t="s">
        <v>5</v>
      </c>
    </row>
    <row r="23" spans="1:11" ht="17.25" customHeight="1" thickBot="1" x14ac:dyDescent="0.3">
      <c r="A23" s="128" t="s">
        <v>9</v>
      </c>
      <c r="B23" s="490" t="s">
        <v>10</v>
      </c>
      <c r="C23" s="491"/>
      <c r="D23" s="491"/>
      <c r="E23" s="492"/>
      <c r="F23" s="493" t="s">
        <v>142</v>
      </c>
      <c r="G23" s="491"/>
      <c r="H23" s="491"/>
      <c r="I23" s="492"/>
    </row>
    <row r="24" spans="1:11" ht="17.25" thickBot="1" x14ac:dyDescent="0.3">
      <c r="A24" s="79" t="s">
        <v>122</v>
      </c>
      <c r="B24" s="129">
        <f>SUM(B25:B29)</f>
        <v>61635.472996000004</v>
      </c>
      <c r="C24" s="130">
        <f t="shared" ref="C24:C35" si="6">B24/$N$1</f>
        <v>2568.144708166667</v>
      </c>
      <c r="D24" s="131">
        <f t="shared" ref="D24:E61" si="7">B24/10.65</f>
        <v>5787.3683564319253</v>
      </c>
      <c r="E24" s="132">
        <f t="shared" si="7"/>
        <v>241.14034818466357</v>
      </c>
      <c r="F24" s="133">
        <f>SUM(F25:F29)</f>
        <v>78851.827726970019</v>
      </c>
      <c r="G24" s="134">
        <f t="shared" ref="G24:G35" si="8">F24/$N$1</f>
        <v>3285.4928219570843</v>
      </c>
      <c r="H24" s="134">
        <f>F24/10.65</f>
        <v>7403.9274861004715</v>
      </c>
      <c r="I24" s="135">
        <f>G24/10.65</f>
        <v>308.49697858751966</v>
      </c>
    </row>
    <row r="25" spans="1:11" x14ac:dyDescent="0.25">
      <c r="A25" s="86" t="s">
        <v>123</v>
      </c>
      <c r="B25" s="136">
        <v>301.952</v>
      </c>
      <c r="C25" s="137">
        <f t="shared" si="6"/>
        <v>12.581333333333333</v>
      </c>
      <c r="D25" s="138">
        <f t="shared" si="7"/>
        <v>28.352300469483566</v>
      </c>
      <c r="E25" s="139">
        <f t="shared" si="7"/>
        <v>1.1813458528951486</v>
      </c>
      <c r="F25" s="140">
        <v>304.97152000494799</v>
      </c>
      <c r="G25" s="141">
        <f t="shared" si="8"/>
        <v>12.707146666872832</v>
      </c>
      <c r="H25" s="141">
        <f t="shared" ref="H25:I29" si="9">F25/10.65</f>
        <v>28.635823474643004</v>
      </c>
      <c r="I25" s="142">
        <f t="shared" si="9"/>
        <v>1.1931593114434584</v>
      </c>
      <c r="K25" s="93">
        <f>B25/$B$24</f>
        <v>4.8989970437899608E-3</v>
      </c>
    </row>
    <row r="26" spans="1:11" x14ac:dyDescent="0.25">
      <c r="A26" s="94" t="s">
        <v>124</v>
      </c>
      <c r="B26" s="143">
        <v>6885</v>
      </c>
      <c r="C26" s="144">
        <f t="shared" si="6"/>
        <v>286.875</v>
      </c>
      <c r="D26" s="145">
        <f t="shared" si="7"/>
        <v>646.47887323943655</v>
      </c>
      <c r="E26" s="20">
        <f t="shared" si="7"/>
        <v>26.93661971830986</v>
      </c>
      <c r="F26" s="140">
        <f>6953.85000011282+16600</f>
        <v>23553.85000011282</v>
      </c>
      <c r="G26" s="146">
        <f t="shared" si="8"/>
        <v>981.41041667136744</v>
      </c>
      <c r="H26" s="146">
        <f t="shared" si="9"/>
        <v>2211.6291079918142</v>
      </c>
      <c r="I26" s="147">
        <f t="shared" si="9"/>
        <v>92.151212832992243</v>
      </c>
      <c r="J26" s="4" t="s">
        <v>143</v>
      </c>
      <c r="K26" s="93">
        <f>B26/$B$24</f>
        <v>0.11170515395325709</v>
      </c>
    </row>
    <row r="27" spans="1:11" x14ac:dyDescent="0.25">
      <c r="A27" s="94" t="s">
        <v>126</v>
      </c>
      <c r="B27" s="143">
        <v>0</v>
      </c>
      <c r="C27" s="144">
        <f t="shared" si="6"/>
        <v>0</v>
      </c>
      <c r="D27" s="145">
        <f t="shared" si="7"/>
        <v>0</v>
      </c>
      <c r="E27" s="20">
        <f t="shared" si="7"/>
        <v>0</v>
      </c>
      <c r="F27" s="140">
        <v>0</v>
      </c>
      <c r="G27" s="146">
        <f t="shared" si="8"/>
        <v>0</v>
      </c>
      <c r="H27" s="146">
        <f t="shared" si="9"/>
        <v>0</v>
      </c>
      <c r="I27" s="147">
        <f t="shared" si="9"/>
        <v>0</v>
      </c>
      <c r="K27" s="93">
        <f>B27/$B$24</f>
        <v>0</v>
      </c>
    </row>
    <row r="28" spans="1:11" x14ac:dyDescent="0.25">
      <c r="A28" s="94" t="s">
        <v>128</v>
      </c>
      <c r="B28" s="143">
        <v>1</v>
      </c>
      <c r="C28" s="144">
        <f t="shared" si="6"/>
        <v>4.1666666666666664E-2</v>
      </c>
      <c r="D28" s="145">
        <f t="shared" si="7"/>
        <v>9.3896713615023469E-2</v>
      </c>
      <c r="E28" s="20">
        <f t="shared" si="7"/>
        <v>3.912363067292644E-3</v>
      </c>
      <c r="F28" s="140">
        <v>1.0100000000163867</v>
      </c>
      <c r="G28" s="146">
        <f t="shared" si="8"/>
        <v>4.2083333334016114E-2</v>
      </c>
      <c r="H28" s="146">
        <f t="shared" si="9"/>
        <v>9.4835680752712356E-2</v>
      </c>
      <c r="I28" s="147">
        <f t="shared" si="9"/>
        <v>3.9514866980296815E-3</v>
      </c>
      <c r="K28" s="93">
        <f>B28/$B$24</f>
        <v>1.6224423232136104E-5</v>
      </c>
    </row>
    <row r="29" spans="1:11" ht="17.25" thickBot="1" x14ac:dyDescent="0.3">
      <c r="A29" s="100" t="s">
        <v>129</v>
      </c>
      <c r="B29" s="148">
        <v>54447.520996000007</v>
      </c>
      <c r="C29" s="149">
        <f t="shared" si="6"/>
        <v>2268.6467081666669</v>
      </c>
      <c r="D29" s="150">
        <f t="shared" si="7"/>
        <v>5112.4432860093902</v>
      </c>
      <c r="E29" s="151">
        <f t="shared" si="7"/>
        <v>213.01847025039126</v>
      </c>
      <c r="F29" s="140">
        <v>54991.996206852229</v>
      </c>
      <c r="G29" s="152">
        <f t="shared" si="8"/>
        <v>2291.3331752855097</v>
      </c>
      <c r="H29" s="152">
        <f t="shared" si="9"/>
        <v>5163.5677189532607</v>
      </c>
      <c r="I29" s="153">
        <f t="shared" si="9"/>
        <v>215.14865495638588</v>
      </c>
      <c r="K29" s="93">
        <f>B29/$B$24</f>
        <v>0.88337962457972086</v>
      </c>
    </row>
    <row r="30" spans="1:11" s="17" customFormat="1" ht="17.25" thickBot="1" x14ac:dyDescent="0.3">
      <c r="A30" s="108" t="s">
        <v>132</v>
      </c>
      <c r="B30" s="154">
        <f>SUM(B31:B35)</f>
        <v>65719.606039999984</v>
      </c>
      <c r="C30" s="130">
        <f t="shared" si="6"/>
        <v>2738.3169183333325</v>
      </c>
      <c r="D30" s="131">
        <f t="shared" si="7"/>
        <v>6170.8550272300454</v>
      </c>
      <c r="E30" s="132">
        <f t="shared" si="7"/>
        <v>257.11895946791856</v>
      </c>
      <c r="F30" s="155">
        <f>SUM(F31:F35)</f>
        <v>25970.258636583312</v>
      </c>
      <c r="G30" s="156">
        <f t="shared" si="8"/>
        <v>1082.0941098576379</v>
      </c>
      <c r="H30" s="156">
        <f>F30/10.65</f>
        <v>2438.5219377073531</v>
      </c>
      <c r="I30" s="157">
        <f>G30/10.65</f>
        <v>101.60508073780638</v>
      </c>
    </row>
    <row r="31" spans="1:11" x14ac:dyDescent="0.25">
      <c r="A31" s="86" t="s">
        <v>133</v>
      </c>
      <c r="B31" s="158">
        <v>9200.4859649999999</v>
      </c>
      <c r="C31" s="137">
        <f t="shared" si="6"/>
        <v>383.35358187499997</v>
      </c>
      <c r="D31" s="159">
        <f t="shared" si="7"/>
        <v>863.8953957746478</v>
      </c>
      <c r="E31" s="160">
        <f t="shared" si="7"/>
        <v>35.995641490610325</v>
      </c>
      <c r="F31" s="140">
        <f>9370.25863658331+16600</f>
        <v>25970.258636583312</v>
      </c>
      <c r="G31" s="141">
        <f t="shared" si="8"/>
        <v>1082.0941098576379</v>
      </c>
      <c r="H31" s="141">
        <f t="shared" ref="H31:I35" si="10">F31/10.65</f>
        <v>2438.5219377073531</v>
      </c>
      <c r="I31" s="142">
        <f t="shared" si="10"/>
        <v>101.60508073780638</v>
      </c>
      <c r="J31" s="4" t="s">
        <v>143</v>
      </c>
      <c r="K31" s="93">
        <f>B31/$B$30</f>
        <v>0.13999606083152963</v>
      </c>
    </row>
    <row r="32" spans="1:11" x14ac:dyDescent="0.25">
      <c r="A32" s="94" t="s">
        <v>134</v>
      </c>
      <c r="B32" s="161">
        <v>56519.120074999984</v>
      </c>
      <c r="C32" s="162">
        <f t="shared" si="6"/>
        <v>2354.9633364583328</v>
      </c>
      <c r="D32" s="163">
        <f t="shared" si="7"/>
        <v>5306.9596314553974</v>
      </c>
      <c r="E32" s="164">
        <f t="shared" si="7"/>
        <v>221.12331797730823</v>
      </c>
      <c r="F32" s="140"/>
      <c r="G32" s="146">
        <f t="shared" si="8"/>
        <v>0</v>
      </c>
      <c r="H32" s="146">
        <f t="shared" si="10"/>
        <v>0</v>
      </c>
      <c r="I32" s="147">
        <f t="shared" si="10"/>
        <v>0</v>
      </c>
      <c r="K32" s="93">
        <f>B32/$B$30</f>
        <v>0.8600039391684704</v>
      </c>
    </row>
    <row r="33" spans="1:11" x14ac:dyDescent="0.25">
      <c r="A33" s="94" t="s">
        <v>136</v>
      </c>
      <c r="B33" s="161">
        <v>0</v>
      </c>
      <c r="C33" s="162">
        <f t="shared" si="6"/>
        <v>0</v>
      </c>
      <c r="D33" s="163">
        <f t="shared" si="7"/>
        <v>0</v>
      </c>
      <c r="E33" s="164">
        <f t="shared" si="7"/>
        <v>0</v>
      </c>
      <c r="F33" s="140">
        <v>0</v>
      </c>
      <c r="G33" s="146">
        <f t="shared" si="8"/>
        <v>0</v>
      </c>
      <c r="H33" s="146">
        <f t="shared" si="10"/>
        <v>0</v>
      </c>
      <c r="I33" s="147">
        <f t="shared" si="10"/>
        <v>0</v>
      </c>
      <c r="K33" s="93">
        <f>B33/$B$30</f>
        <v>0</v>
      </c>
    </row>
    <row r="34" spans="1:11" x14ac:dyDescent="0.25">
      <c r="A34" s="94" t="s">
        <v>137</v>
      </c>
      <c r="B34" s="161">
        <v>0</v>
      </c>
      <c r="C34" s="162">
        <f t="shared" si="6"/>
        <v>0</v>
      </c>
      <c r="D34" s="163">
        <f t="shared" si="7"/>
        <v>0</v>
      </c>
      <c r="E34" s="164">
        <f t="shared" si="7"/>
        <v>0</v>
      </c>
      <c r="F34" s="140">
        <v>0</v>
      </c>
      <c r="G34" s="146">
        <f t="shared" si="8"/>
        <v>0</v>
      </c>
      <c r="H34" s="146">
        <f t="shared" si="10"/>
        <v>0</v>
      </c>
      <c r="I34" s="147">
        <f t="shared" si="10"/>
        <v>0</v>
      </c>
      <c r="K34" s="93">
        <f>B34/$B$30</f>
        <v>0</v>
      </c>
    </row>
    <row r="35" spans="1:11" ht="17.25" thickBot="1" x14ac:dyDescent="0.3">
      <c r="A35" s="119" t="s">
        <v>139</v>
      </c>
      <c r="B35" s="165">
        <v>0</v>
      </c>
      <c r="C35" s="166">
        <f t="shared" si="6"/>
        <v>0</v>
      </c>
      <c r="D35" s="167">
        <f t="shared" si="7"/>
        <v>0</v>
      </c>
      <c r="E35" s="168">
        <f t="shared" si="7"/>
        <v>0</v>
      </c>
      <c r="F35" s="140">
        <v>0</v>
      </c>
      <c r="G35" s="146">
        <f t="shared" si="8"/>
        <v>0</v>
      </c>
      <c r="H35" s="146">
        <f t="shared" si="10"/>
        <v>0</v>
      </c>
      <c r="I35" s="147">
        <f t="shared" si="10"/>
        <v>0</v>
      </c>
      <c r="K35" s="93">
        <f>B35/$B$30</f>
        <v>0</v>
      </c>
    </row>
    <row r="36" spans="1:11" ht="17.25" thickBot="1" x14ac:dyDescent="0.3">
      <c r="A36" s="169" t="s">
        <v>11</v>
      </c>
      <c r="B36" s="476" t="s">
        <v>12</v>
      </c>
      <c r="C36" s="476"/>
      <c r="D36" s="476"/>
      <c r="E36" s="477"/>
      <c r="F36" s="476" t="s">
        <v>144</v>
      </c>
      <c r="G36" s="476"/>
      <c r="H36" s="476"/>
      <c r="I36" s="477"/>
    </row>
    <row r="37" spans="1:11" ht="17.25" thickBot="1" x14ac:dyDescent="0.3">
      <c r="A37" s="79" t="s">
        <v>122</v>
      </c>
      <c r="B37" s="129">
        <f>SUM(B38:B42)</f>
        <v>174392.24871800002</v>
      </c>
      <c r="C37" s="130">
        <f t="shared" ref="C37:C48" si="11">B37/$N$1</f>
        <v>7266.3436965833343</v>
      </c>
      <c r="D37" s="131">
        <f t="shared" si="7"/>
        <v>16374.859034553992</v>
      </c>
      <c r="E37" s="170">
        <f t="shared" si="7"/>
        <v>682.28579310641635</v>
      </c>
      <c r="F37" s="133">
        <f>SUM(F38:F42)</f>
        <v>117600</v>
      </c>
      <c r="G37" s="134">
        <f t="shared" ref="G37:G48" si="12">F37/$N$1</f>
        <v>4900</v>
      </c>
      <c r="H37" s="134">
        <f>F37/10.65</f>
        <v>11042.25352112676</v>
      </c>
      <c r="I37" s="135">
        <f>G37/10.65</f>
        <v>460.09389671361498</v>
      </c>
    </row>
    <row r="38" spans="1:11" x14ac:dyDescent="0.25">
      <c r="A38" s="86" t="s">
        <v>123</v>
      </c>
      <c r="B38" s="136">
        <v>48563.023110999995</v>
      </c>
      <c r="C38" s="137">
        <f t="shared" si="11"/>
        <v>2023.4592962916665</v>
      </c>
      <c r="D38" s="138">
        <f t="shared" si="7"/>
        <v>4559.9082733333325</v>
      </c>
      <c r="E38" s="171">
        <f t="shared" si="7"/>
        <v>189.99617805555553</v>
      </c>
      <c r="F38" s="140">
        <v>28125.477882577132</v>
      </c>
      <c r="G38" s="141">
        <f t="shared" si="12"/>
        <v>1171.8949117740472</v>
      </c>
      <c r="H38" s="141">
        <f t="shared" ref="H38:I42" si="13">F38/10.65</f>
        <v>2640.8899420260218</v>
      </c>
      <c r="I38" s="142">
        <f t="shared" si="13"/>
        <v>110.0370809177509</v>
      </c>
      <c r="K38" s="93">
        <f>B38/$B$37</f>
        <v>0.27847007804531815</v>
      </c>
    </row>
    <row r="39" spans="1:11" x14ac:dyDescent="0.25">
      <c r="A39" s="94" t="s">
        <v>124</v>
      </c>
      <c r="B39" s="143">
        <v>44285.887000000002</v>
      </c>
      <c r="C39" s="144">
        <f t="shared" si="11"/>
        <v>1845.2452916666668</v>
      </c>
      <c r="D39" s="145">
        <f t="shared" si="7"/>
        <v>4158.2992488262908</v>
      </c>
      <c r="E39" s="172">
        <f t="shared" si="7"/>
        <v>173.26246870109549</v>
      </c>
      <c r="F39" s="140">
        <f>25648.3566206709+16600</f>
        <v>42248.3566206709</v>
      </c>
      <c r="G39" s="146">
        <f t="shared" si="12"/>
        <v>1760.3481925279541</v>
      </c>
      <c r="H39" s="146">
        <f t="shared" si="13"/>
        <v>3966.9818423165161</v>
      </c>
      <c r="I39" s="147">
        <f t="shared" si="13"/>
        <v>165.29091009652151</v>
      </c>
      <c r="J39" s="4" t="s">
        <v>143</v>
      </c>
      <c r="K39" s="93">
        <f>B39/$B$37</f>
        <v>0.25394412495713753</v>
      </c>
    </row>
    <row r="40" spans="1:11" x14ac:dyDescent="0.25">
      <c r="A40" s="94" t="s">
        <v>126</v>
      </c>
      <c r="B40" s="143">
        <v>10208.769933</v>
      </c>
      <c r="C40" s="144">
        <f t="shared" si="11"/>
        <v>425.365413875</v>
      </c>
      <c r="D40" s="145">
        <f t="shared" si="7"/>
        <v>958.56994676056331</v>
      </c>
      <c r="E40" s="172">
        <f t="shared" si="7"/>
        <v>39.940414448356805</v>
      </c>
      <c r="F40" s="140">
        <v>5912.4517907920963</v>
      </c>
      <c r="G40" s="146">
        <f t="shared" si="12"/>
        <v>246.35215794967067</v>
      </c>
      <c r="H40" s="146">
        <f t="shared" si="13"/>
        <v>555.15979256263813</v>
      </c>
      <c r="I40" s="147">
        <f t="shared" si="13"/>
        <v>23.131658023443254</v>
      </c>
      <c r="K40" s="93">
        <f>B40/$B$37</f>
        <v>5.8539126641505908E-2</v>
      </c>
    </row>
    <row r="41" spans="1:11" x14ac:dyDescent="0.25">
      <c r="A41" s="94" t="s">
        <v>128</v>
      </c>
      <c r="B41" s="143">
        <v>0</v>
      </c>
      <c r="C41" s="144">
        <f t="shared" si="11"/>
        <v>0</v>
      </c>
      <c r="D41" s="145">
        <f t="shared" si="7"/>
        <v>0</v>
      </c>
      <c r="E41" s="172">
        <f t="shared" si="7"/>
        <v>0</v>
      </c>
      <c r="F41" s="140">
        <v>0</v>
      </c>
      <c r="G41" s="146">
        <f t="shared" si="12"/>
        <v>0</v>
      </c>
      <c r="H41" s="146">
        <f t="shared" si="13"/>
        <v>0</v>
      </c>
      <c r="I41" s="147">
        <f t="shared" si="13"/>
        <v>0</v>
      </c>
      <c r="K41" s="93">
        <f>B41/$B$37</f>
        <v>0</v>
      </c>
    </row>
    <row r="42" spans="1:11" ht="17.25" thickBot="1" x14ac:dyDescent="0.3">
      <c r="A42" s="100" t="s">
        <v>129</v>
      </c>
      <c r="B42" s="148">
        <v>71334.568673999995</v>
      </c>
      <c r="C42" s="149">
        <f t="shared" si="11"/>
        <v>2972.2736947499998</v>
      </c>
      <c r="D42" s="150">
        <f t="shared" si="7"/>
        <v>6698.0815656338018</v>
      </c>
      <c r="E42" s="173">
        <f t="shared" si="7"/>
        <v>279.08673190140843</v>
      </c>
      <c r="F42" s="140">
        <v>41313.713705959868</v>
      </c>
      <c r="G42" s="152">
        <f t="shared" si="12"/>
        <v>1721.4047377483278</v>
      </c>
      <c r="H42" s="152">
        <f t="shared" si="13"/>
        <v>3879.2219442215837</v>
      </c>
      <c r="I42" s="153">
        <f t="shared" si="13"/>
        <v>161.6342476758993</v>
      </c>
      <c r="K42" s="93">
        <f>B42/$B$37</f>
        <v>0.40904667035603831</v>
      </c>
    </row>
    <row r="43" spans="1:11" ht="17.25" thickBot="1" x14ac:dyDescent="0.3">
      <c r="A43" s="108" t="s">
        <v>132</v>
      </c>
      <c r="B43" s="154">
        <f>SUM(B44:B48)</f>
        <v>148888.96178899999</v>
      </c>
      <c r="C43" s="130">
        <f t="shared" si="11"/>
        <v>6203.7067412083334</v>
      </c>
      <c r="D43" s="131">
        <f t="shared" si="7"/>
        <v>13980.184205539905</v>
      </c>
      <c r="E43" s="132">
        <f t="shared" si="7"/>
        <v>582.50767523082936</v>
      </c>
      <c r="F43" s="155">
        <f>SUM(F44:F48)</f>
        <v>40463.593965075896</v>
      </c>
      <c r="G43" s="156">
        <f t="shared" si="12"/>
        <v>1685.9830818781622</v>
      </c>
      <c r="H43" s="156">
        <f>F43/10.65</f>
        <v>3799.3984943733235</v>
      </c>
      <c r="I43" s="157">
        <f>G43/10.65</f>
        <v>158.30827059888847</v>
      </c>
    </row>
    <row r="44" spans="1:11" x14ac:dyDescent="0.25">
      <c r="A44" s="86" t="s">
        <v>133</v>
      </c>
      <c r="B44" s="174">
        <v>29315.393812000002</v>
      </c>
      <c r="C44" s="137">
        <f t="shared" si="11"/>
        <v>1221.4747421666668</v>
      </c>
      <c r="D44" s="138">
        <f t="shared" si="7"/>
        <v>2752.6191372769954</v>
      </c>
      <c r="E44" s="139">
        <f t="shared" si="7"/>
        <v>114.69246405320816</v>
      </c>
      <c r="F44" s="140">
        <f>23863.5939650759+16600</f>
        <v>40463.593965075896</v>
      </c>
      <c r="G44" s="141">
        <f t="shared" si="12"/>
        <v>1685.9830818781622</v>
      </c>
      <c r="H44" s="141">
        <f t="shared" ref="H44:I48" si="14">F44/10.65</f>
        <v>3799.3984943733235</v>
      </c>
      <c r="I44" s="142">
        <f t="shared" si="14"/>
        <v>158.30827059888847</v>
      </c>
      <c r="J44" s="4" t="s">
        <v>143</v>
      </c>
      <c r="K44" s="93">
        <f>B44/$B$43</f>
        <v>0.19689433964584097</v>
      </c>
    </row>
    <row r="45" spans="1:11" x14ac:dyDescent="0.25">
      <c r="A45" s="94" t="s">
        <v>134</v>
      </c>
      <c r="B45" s="175">
        <v>119573.56797699998</v>
      </c>
      <c r="C45" s="144">
        <f t="shared" si="11"/>
        <v>4982.2319990416663</v>
      </c>
      <c r="D45" s="145">
        <f t="shared" si="7"/>
        <v>11227.565068262909</v>
      </c>
      <c r="E45" s="20">
        <f t="shared" si="7"/>
        <v>467.81521117762122</v>
      </c>
      <c r="F45" s="140"/>
      <c r="G45" s="146">
        <f t="shared" si="12"/>
        <v>0</v>
      </c>
      <c r="H45" s="146">
        <f t="shared" si="14"/>
        <v>0</v>
      </c>
      <c r="I45" s="147">
        <f t="shared" si="14"/>
        <v>0</v>
      </c>
      <c r="K45" s="93">
        <f>B45/$B$43</f>
        <v>0.80310566035415898</v>
      </c>
    </row>
    <row r="46" spans="1:11" x14ac:dyDescent="0.25">
      <c r="A46" s="94" t="s">
        <v>136</v>
      </c>
      <c r="B46" s="175">
        <v>0</v>
      </c>
      <c r="C46" s="144">
        <f t="shared" si="11"/>
        <v>0</v>
      </c>
      <c r="D46" s="145">
        <f t="shared" si="7"/>
        <v>0</v>
      </c>
      <c r="E46" s="20">
        <f t="shared" si="7"/>
        <v>0</v>
      </c>
      <c r="F46" s="140">
        <v>0</v>
      </c>
      <c r="G46" s="146">
        <f t="shared" si="12"/>
        <v>0</v>
      </c>
      <c r="H46" s="146">
        <f t="shared" si="14"/>
        <v>0</v>
      </c>
      <c r="I46" s="147">
        <f t="shared" si="14"/>
        <v>0</v>
      </c>
      <c r="K46" s="93">
        <f>B46/$B$43</f>
        <v>0</v>
      </c>
    </row>
    <row r="47" spans="1:11" x14ac:dyDescent="0.25">
      <c r="A47" s="94" t="s">
        <v>137</v>
      </c>
      <c r="B47" s="175">
        <v>0</v>
      </c>
      <c r="C47" s="144">
        <f t="shared" si="11"/>
        <v>0</v>
      </c>
      <c r="D47" s="145">
        <f t="shared" si="7"/>
        <v>0</v>
      </c>
      <c r="E47" s="20">
        <f t="shared" si="7"/>
        <v>0</v>
      </c>
      <c r="F47" s="140">
        <v>0</v>
      </c>
      <c r="G47" s="146">
        <f t="shared" si="12"/>
        <v>0</v>
      </c>
      <c r="H47" s="146">
        <f t="shared" si="14"/>
        <v>0</v>
      </c>
      <c r="I47" s="147">
        <f t="shared" si="14"/>
        <v>0</v>
      </c>
      <c r="K47" s="93">
        <f>B47/$B$43</f>
        <v>0</v>
      </c>
    </row>
    <row r="48" spans="1:11" ht="17.25" thickBot="1" x14ac:dyDescent="0.3">
      <c r="A48" s="100" t="s">
        <v>139</v>
      </c>
      <c r="B48" s="176">
        <v>0</v>
      </c>
      <c r="C48" s="149">
        <f t="shared" si="11"/>
        <v>0</v>
      </c>
      <c r="D48" s="150">
        <f t="shared" si="7"/>
        <v>0</v>
      </c>
      <c r="E48" s="151">
        <f t="shared" si="7"/>
        <v>0</v>
      </c>
      <c r="F48" s="140">
        <v>0</v>
      </c>
      <c r="G48" s="152">
        <f t="shared" si="12"/>
        <v>0</v>
      </c>
      <c r="H48" s="152">
        <f t="shared" si="14"/>
        <v>0</v>
      </c>
      <c r="I48" s="153">
        <f t="shared" si="14"/>
        <v>0</v>
      </c>
      <c r="K48" s="93">
        <f>B48/$B$43</f>
        <v>0</v>
      </c>
    </row>
    <row r="49" spans="1:11" ht="17.25" thickBot="1" x14ac:dyDescent="0.3">
      <c r="A49" s="177" t="s">
        <v>13</v>
      </c>
      <c r="B49" s="475" t="s">
        <v>14</v>
      </c>
      <c r="C49" s="476"/>
      <c r="D49" s="476"/>
      <c r="E49" s="477"/>
      <c r="F49" s="478" t="s">
        <v>145</v>
      </c>
      <c r="G49" s="476"/>
      <c r="H49" s="476"/>
      <c r="I49" s="477"/>
    </row>
    <row r="50" spans="1:11" ht="17.25" thickBot="1" x14ac:dyDescent="0.3">
      <c r="A50" s="79" t="s">
        <v>122</v>
      </c>
      <c r="B50" s="129">
        <f>SUM(B51:B54)</f>
        <v>0</v>
      </c>
      <c r="C50" s="130">
        <f>SUM(C51:C54)</f>
        <v>0</v>
      </c>
      <c r="D50" s="130">
        <f>SUM(D51:D54)</f>
        <v>0</v>
      </c>
      <c r="E50" s="178">
        <f>SUM(E51:E54)</f>
        <v>0</v>
      </c>
      <c r="F50" s="133">
        <v>1818</v>
      </c>
      <c r="G50" s="134">
        <f t="shared" ref="G50:G61" si="15">F50/$N$1</f>
        <v>75.75</v>
      </c>
      <c r="H50" s="134">
        <f>F50/10.65</f>
        <v>170.70422535211267</v>
      </c>
      <c r="I50" s="135">
        <f>G50/10.65</f>
        <v>7.112676056338028</v>
      </c>
    </row>
    <row r="51" spans="1:11" x14ac:dyDescent="0.25">
      <c r="A51" s="94" t="s">
        <v>124</v>
      </c>
      <c r="B51" s="143">
        <v>0</v>
      </c>
      <c r="C51" s="144">
        <f>B51/$N$1</f>
        <v>0</v>
      </c>
      <c r="D51" s="145">
        <f t="shared" si="7"/>
        <v>0</v>
      </c>
      <c r="E51" s="20">
        <f t="shared" si="7"/>
        <v>0</v>
      </c>
      <c r="F51" s="179">
        <v>0</v>
      </c>
      <c r="G51" s="146">
        <f t="shared" si="15"/>
        <v>0</v>
      </c>
      <c r="H51" s="146">
        <f>F51/10.65</f>
        <v>0</v>
      </c>
      <c r="I51" s="147">
        <f>G51/10.65</f>
        <v>0</v>
      </c>
      <c r="K51" s="4" t="e">
        <f>B51/B50</f>
        <v>#DIV/0!</v>
      </c>
    </row>
    <row r="52" spans="1:11" x14ac:dyDescent="0.25">
      <c r="A52" s="94" t="s">
        <v>126</v>
      </c>
      <c r="B52" s="143">
        <v>0</v>
      </c>
      <c r="C52" s="144">
        <f>B52/$N$1</f>
        <v>0</v>
      </c>
      <c r="D52" s="145">
        <f t="shared" si="7"/>
        <v>0</v>
      </c>
      <c r="E52" s="20">
        <f t="shared" si="7"/>
        <v>0</v>
      </c>
      <c r="F52" s="179">
        <v>0</v>
      </c>
      <c r="G52" s="146">
        <f t="shared" si="15"/>
        <v>0</v>
      </c>
      <c r="H52" s="146">
        <f t="shared" ref="H52:I54" si="16">F52/10.65</f>
        <v>0</v>
      </c>
      <c r="I52" s="147">
        <f t="shared" si="16"/>
        <v>0</v>
      </c>
    </row>
    <row r="53" spans="1:11" x14ac:dyDescent="0.25">
      <c r="A53" s="94" t="s">
        <v>128</v>
      </c>
      <c r="B53" s="143">
        <v>0</v>
      </c>
      <c r="C53" s="144">
        <f>B53/$N$1</f>
        <v>0</v>
      </c>
      <c r="D53" s="145">
        <f t="shared" si="7"/>
        <v>0</v>
      </c>
      <c r="E53" s="20">
        <f t="shared" si="7"/>
        <v>0</v>
      </c>
      <c r="F53" s="179">
        <v>0</v>
      </c>
      <c r="G53" s="146">
        <f t="shared" si="15"/>
        <v>0</v>
      </c>
      <c r="H53" s="146">
        <f t="shared" si="16"/>
        <v>0</v>
      </c>
      <c r="I53" s="147">
        <f t="shared" si="16"/>
        <v>0</v>
      </c>
    </row>
    <row r="54" spans="1:11" ht="17.25" thickBot="1" x14ac:dyDescent="0.3">
      <c r="A54" s="100" t="s">
        <v>129</v>
      </c>
      <c r="B54" s="148">
        <v>0</v>
      </c>
      <c r="C54" s="149">
        <f>B54/$N$1</f>
        <v>0</v>
      </c>
      <c r="D54" s="150">
        <f t="shared" si="7"/>
        <v>0</v>
      </c>
      <c r="E54" s="151">
        <f t="shared" si="7"/>
        <v>0</v>
      </c>
      <c r="F54" s="180">
        <v>1818</v>
      </c>
      <c r="G54" s="152">
        <f t="shared" si="15"/>
        <v>75.75</v>
      </c>
      <c r="H54" s="152">
        <f t="shared" si="16"/>
        <v>170.70422535211267</v>
      </c>
      <c r="I54" s="153">
        <f t="shared" si="16"/>
        <v>7.112676056338028</v>
      </c>
    </row>
    <row r="55" spans="1:11" ht="17.25" thickBot="1" x14ac:dyDescent="0.3">
      <c r="A55" s="108" t="s">
        <v>132</v>
      </c>
      <c r="B55" s="154">
        <f>SUM(B56:B61)</f>
        <v>5064.4256399999995</v>
      </c>
      <c r="C55" s="181">
        <f>SUM(C56:C61)</f>
        <v>211.01773500000002</v>
      </c>
      <c r="D55" s="181">
        <f>SUM(D56:D61)</f>
        <v>475.53292394366196</v>
      </c>
      <c r="E55" s="182">
        <f>SUM(E56:E61)</f>
        <v>19.813871830985917</v>
      </c>
      <c r="F55" s="155">
        <f>SUM(F56:F61)</f>
        <v>1458.7018241371013</v>
      </c>
      <c r="G55" s="156">
        <f t="shared" si="15"/>
        <v>60.779242672379219</v>
      </c>
      <c r="H55" s="156">
        <f>F55/10.65</f>
        <v>136.96730743071373</v>
      </c>
      <c r="I55" s="157">
        <f>G55/10.65</f>
        <v>5.7069711429464052</v>
      </c>
      <c r="K55" s="183">
        <f>B56+B57</f>
        <v>2532.3483619999997</v>
      </c>
    </row>
    <row r="56" spans="1:11" x14ac:dyDescent="0.25">
      <c r="A56" s="86" t="s">
        <v>133</v>
      </c>
      <c r="B56" s="174">
        <v>2438.2449999999999</v>
      </c>
      <c r="C56" s="137">
        <f t="shared" ref="C56:C61" si="17">B56/$N$1</f>
        <v>101.59354166666667</v>
      </c>
      <c r="D56" s="138">
        <f t="shared" si="7"/>
        <v>228.94319248826289</v>
      </c>
      <c r="E56" s="139">
        <f t="shared" si="7"/>
        <v>9.5392996870109545</v>
      </c>
      <c r="F56" s="140">
        <v>1458.7018241371013</v>
      </c>
      <c r="G56" s="141">
        <f t="shared" si="15"/>
        <v>60.779242672379219</v>
      </c>
      <c r="H56" s="141">
        <f t="shared" ref="H56:I61" si="18">F56/10.65</f>
        <v>136.96730743071373</v>
      </c>
      <c r="I56" s="142">
        <f t="shared" si="18"/>
        <v>5.7069711429464052</v>
      </c>
      <c r="K56" s="93">
        <f>B56/$K$55</f>
        <v>0.96283948787927476</v>
      </c>
    </row>
    <row r="57" spans="1:11" x14ac:dyDescent="0.25">
      <c r="A57" s="94" t="s">
        <v>134</v>
      </c>
      <c r="B57" s="175">
        <v>94.103362000000004</v>
      </c>
      <c r="C57" s="144">
        <f t="shared" si="17"/>
        <v>3.920973416666667</v>
      </c>
      <c r="D57" s="145">
        <f t="shared" si="7"/>
        <v>8.8359964319248832</v>
      </c>
      <c r="E57" s="20">
        <f t="shared" si="7"/>
        <v>0.36816651799687011</v>
      </c>
      <c r="F57" s="140"/>
      <c r="G57" s="146">
        <f t="shared" si="15"/>
        <v>0</v>
      </c>
      <c r="H57" s="146">
        <f t="shared" si="18"/>
        <v>0</v>
      </c>
      <c r="I57" s="147">
        <f t="shared" si="18"/>
        <v>0</v>
      </c>
      <c r="K57" s="93">
        <f>B57/$K$55</f>
        <v>3.716051212072536E-2</v>
      </c>
    </row>
    <row r="58" spans="1:11" x14ac:dyDescent="0.25">
      <c r="A58" s="94" t="s">
        <v>135</v>
      </c>
      <c r="B58" s="175">
        <v>0</v>
      </c>
      <c r="C58" s="144">
        <f t="shared" si="17"/>
        <v>0</v>
      </c>
      <c r="D58" s="145">
        <f t="shared" si="7"/>
        <v>0</v>
      </c>
      <c r="E58" s="20">
        <f t="shared" si="7"/>
        <v>0</v>
      </c>
      <c r="F58" s="140">
        <v>0</v>
      </c>
      <c r="G58" s="146">
        <f t="shared" si="15"/>
        <v>0</v>
      </c>
      <c r="H58" s="146">
        <f t="shared" si="18"/>
        <v>0</v>
      </c>
      <c r="I58" s="147">
        <f t="shared" si="18"/>
        <v>0</v>
      </c>
      <c r="K58" s="93">
        <f>B58/$B$55</f>
        <v>0</v>
      </c>
    </row>
    <row r="59" spans="1:11" x14ac:dyDescent="0.25">
      <c r="A59" s="94" t="s">
        <v>136</v>
      </c>
      <c r="B59" s="175">
        <v>0</v>
      </c>
      <c r="C59" s="144">
        <f t="shared" si="17"/>
        <v>0</v>
      </c>
      <c r="D59" s="145">
        <f t="shared" si="7"/>
        <v>0</v>
      </c>
      <c r="E59" s="20">
        <f t="shared" si="7"/>
        <v>0</v>
      </c>
      <c r="F59" s="140">
        <v>0</v>
      </c>
      <c r="G59" s="146">
        <f t="shared" si="15"/>
        <v>0</v>
      </c>
      <c r="H59" s="146">
        <f t="shared" si="18"/>
        <v>0</v>
      </c>
      <c r="I59" s="147">
        <f t="shared" si="18"/>
        <v>0</v>
      </c>
      <c r="K59" s="93">
        <f>B59/$B$55</f>
        <v>0</v>
      </c>
    </row>
    <row r="60" spans="1:11" x14ac:dyDescent="0.25">
      <c r="A60" s="94" t="s">
        <v>137</v>
      </c>
      <c r="B60" s="175">
        <v>2532.0772780000002</v>
      </c>
      <c r="C60" s="144">
        <f t="shared" si="17"/>
        <v>105.50321991666668</v>
      </c>
      <c r="D60" s="145">
        <f t="shared" si="7"/>
        <v>237.75373502347418</v>
      </c>
      <c r="E60" s="20">
        <f t="shared" si="7"/>
        <v>9.9064056259780919</v>
      </c>
      <c r="F60" s="140">
        <v>0</v>
      </c>
      <c r="G60" s="146">
        <f t="shared" si="15"/>
        <v>0</v>
      </c>
      <c r="H60" s="146">
        <f t="shared" si="18"/>
        <v>0</v>
      </c>
      <c r="I60" s="147">
        <f t="shared" si="18"/>
        <v>0</v>
      </c>
      <c r="K60" s="93">
        <v>0</v>
      </c>
    </row>
    <row r="61" spans="1:11" ht="17.25" thickBot="1" x14ac:dyDescent="0.3">
      <c r="A61" s="100" t="s">
        <v>139</v>
      </c>
      <c r="B61" s="176">
        <v>0</v>
      </c>
      <c r="C61" s="149">
        <f t="shared" si="17"/>
        <v>0</v>
      </c>
      <c r="D61" s="150">
        <f t="shared" si="7"/>
        <v>0</v>
      </c>
      <c r="E61" s="151">
        <f t="shared" si="7"/>
        <v>0</v>
      </c>
      <c r="F61" s="140">
        <v>0</v>
      </c>
      <c r="G61" s="152">
        <f t="shared" si="15"/>
        <v>0</v>
      </c>
      <c r="H61" s="152">
        <f t="shared" si="18"/>
        <v>0</v>
      </c>
      <c r="I61" s="153">
        <f t="shared" si="18"/>
        <v>0</v>
      </c>
      <c r="K61" s="93">
        <f>B61/$B$55</f>
        <v>0</v>
      </c>
    </row>
    <row r="62" spans="1:11" ht="17.25" thickBot="1" x14ac:dyDescent="0.3">
      <c r="A62" s="177" t="s">
        <v>15</v>
      </c>
      <c r="B62" s="475" t="s">
        <v>16</v>
      </c>
      <c r="C62" s="476"/>
      <c r="D62" s="476"/>
      <c r="E62" s="477"/>
      <c r="F62" s="478" t="s">
        <v>146</v>
      </c>
      <c r="G62" s="476"/>
      <c r="H62" s="476"/>
      <c r="I62" s="477"/>
    </row>
    <row r="63" spans="1:11" ht="17.25" thickBot="1" x14ac:dyDescent="0.3">
      <c r="A63" s="79" t="s">
        <v>122</v>
      </c>
      <c r="B63" s="129">
        <f>SUM(B64:B67)</f>
        <v>0</v>
      </c>
      <c r="C63" s="130">
        <f>SUM(C64:C67)</f>
        <v>0</v>
      </c>
      <c r="D63" s="130">
        <f>SUM(D64:D67)</f>
        <v>0</v>
      </c>
      <c r="E63" s="178">
        <f>SUM(E64:E67)</f>
        <v>0</v>
      </c>
      <c r="F63" s="133">
        <v>1010</v>
      </c>
      <c r="G63" s="134">
        <f t="shared" ref="G63:G74" si="19">F63/$N$1</f>
        <v>42.083333333333336</v>
      </c>
      <c r="H63" s="134">
        <f>F63/10.65</f>
        <v>94.835680751173712</v>
      </c>
      <c r="I63" s="135">
        <f>G63/10.65</f>
        <v>3.9514866979655712</v>
      </c>
    </row>
    <row r="64" spans="1:11" x14ac:dyDescent="0.25">
      <c r="A64" s="94" t="s">
        <v>124</v>
      </c>
      <c r="B64" s="143">
        <v>0</v>
      </c>
      <c r="C64" s="144">
        <f>B64/$N$1</f>
        <v>0</v>
      </c>
      <c r="D64" s="145">
        <f t="shared" ref="D64:E67" si="20">B64/10.65</f>
        <v>0</v>
      </c>
      <c r="E64" s="20">
        <f t="shared" si="20"/>
        <v>0</v>
      </c>
      <c r="F64" s="179">
        <v>0</v>
      </c>
      <c r="G64" s="146">
        <f t="shared" si="19"/>
        <v>0</v>
      </c>
      <c r="H64" s="146">
        <f t="shared" ref="H64:I67" si="21">F64/10.65</f>
        <v>0</v>
      </c>
      <c r="I64" s="147">
        <f t="shared" si="21"/>
        <v>0</v>
      </c>
      <c r="K64" s="4" t="e">
        <f>B64/B63</f>
        <v>#DIV/0!</v>
      </c>
    </row>
    <row r="65" spans="1:11" x14ac:dyDescent="0.25">
      <c r="A65" s="94" t="s">
        <v>126</v>
      </c>
      <c r="B65" s="143">
        <v>0</v>
      </c>
      <c r="C65" s="144">
        <f>B65/$N$1</f>
        <v>0</v>
      </c>
      <c r="D65" s="145">
        <f t="shared" si="20"/>
        <v>0</v>
      </c>
      <c r="E65" s="20">
        <f t="shared" si="20"/>
        <v>0</v>
      </c>
      <c r="F65" s="179">
        <v>0</v>
      </c>
      <c r="G65" s="146">
        <f t="shared" si="19"/>
        <v>0</v>
      </c>
      <c r="H65" s="146">
        <f t="shared" si="21"/>
        <v>0</v>
      </c>
      <c r="I65" s="147">
        <f t="shared" si="21"/>
        <v>0</v>
      </c>
    </row>
    <row r="66" spans="1:11" x14ac:dyDescent="0.25">
      <c r="A66" s="94" t="s">
        <v>128</v>
      </c>
      <c r="B66" s="143">
        <v>0</v>
      </c>
      <c r="C66" s="144">
        <f>B66/$N$1</f>
        <v>0</v>
      </c>
      <c r="D66" s="145">
        <f t="shared" si="20"/>
        <v>0</v>
      </c>
      <c r="E66" s="20">
        <f t="shared" si="20"/>
        <v>0</v>
      </c>
      <c r="F66" s="179">
        <v>0</v>
      </c>
      <c r="G66" s="146">
        <f t="shared" si="19"/>
        <v>0</v>
      </c>
      <c r="H66" s="146">
        <f t="shared" si="21"/>
        <v>0</v>
      </c>
      <c r="I66" s="147">
        <f t="shared" si="21"/>
        <v>0</v>
      </c>
    </row>
    <row r="67" spans="1:11" ht="17.25" thickBot="1" x14ac:dyDescent="0.3">
      <c r="A67" s="100" t="s">
        <v>129</v>
      </c>
      <c r="B67" s="184">
        <v>0</v>
      </c>
      <c r="C67" s="185">
        <f>B67/$N$1</f>
        <v>0</v>
      </c>
      <c r="D67" s="186">
        <f t="shared" si="20"/>
        <v>0</v>
      </c>
      <c r="E67" s="21">
        <f t="shared" si="20"/>
        <v>0</v>
      </c>
      <c r="F67" s="180">
        <v>1010</v>
      </c>
      <c r="G67" s="152">
        <f t="shared" si="19"/>
        <v>42.083333333333336</v>
      </c>
      <c r="H67" s="152">
        <f t="shared" si="21"/>
        <v>94.835680751173712</v>
      </c>
      <c r="I67" s="153">
        <f t="shared" si="21"/>
        <v>3.9514866979655712</v>
      </c>
    </row>
    <row r="68" spans="1:11" ht="17.25" thickBot="1" x14ac:dyDescent="0.3">
      <c r="A68" s="108" t="s">
        <v>132</v>
      </c>
      <c r="B68" s="154">
        <f>SUM(B69:B74)</f>
        <v>5137.2880860000005</v>
      </c>
      <c r="C68" s="181">
        <f>SUM(C69:C74)</f>
        <v>214.05367025000004</v>
      </c>
      <c r="D68" s="181">
        <f>SUM(D69:D74)</f>
        <v>482.37446816901411</v>
      </c>
      <c r="E68" s="182">
        <f>SUM(E69:E74)</f>
        <v>20.098936173708921</v>
      </c>
      <c r="F68" s="155">
        <f>SUM(F69:F74)</f>
        <v>1346.9813073184516</v>
      </c>
      <c r="G68" s="156">
        <f t="shared" si="19"/>
        <v>56.124221138268815</v>
      </c>
      <c r="H68" s="156">
        <f>F68/10.65</f>
        <v>126.47711805807057</v>
      </c>
      <c r="I68" s="157">
        <f>G68/10.65</f>
        <v>5.2698799190862733</v>
      </c>
      <c r="K68" s="183">
        <f>B69+B70</f>
        <v>2605.2108080000003</v>
      </c>
    </row>
    <row r="69" spans="1:11" x14ac:dyDescent="0.25">
      <c r="A69" s="86" t="s">
        <v>133</v>
      </c>
      <c r="B69" s="174">
        <v>2316.2840000000001</v>
      </c>
      <c r="C69" s="137">
        <f t="shared" ref="C69:C74" si="22">B69/$N$1</f>
        <v>96.511833333333342</v>
      </c>
      <c r="D69" s="138">
        <f t="shared" ref="D69:E74" si="23">B69/10.65</f>
        <v>217.49145539906104</v>
      </c>
      <c r="E69" s="139">
        <f t="shared" si="23"/>
        <v>9.0621439749608772</v>
      </c>
      <c r="F69" s="187">
        <v>1346.9813073184516</v>
      </c>
      <c r="G69" s="188">
        <f t="shared" si="19"/>
        <v>56.124221138268815</v>
      </c>
      <c r="H69" s="188">
        <f t="shared" ref="H69:I74" si="24">F69/10.65</f>
        <v>126.47711805807057</v>
      </c>
      <c r="I69" s="189">
        <f t="shared" si="24"/>
        <v>5.2698799190862733</v>
      </c>
      <c r="K69" s="93">
        <f>B69/$K$68</f>
        <v>0.8890965724874268</v>
      </c>
    </row>
    <row r="70" spans="1:11" x14ac:dyDescent="0.25">
      <c r="A70" s="94" t="s">
        <v>134</v>
      </c>
      <c r="B70" s="175">
        <v>288.92680799999999</v>
      </c>
      <c r="C70" s="144">
        <f t="shared" si="22"/>
        <v>12.038617</v>
      </c>
      <c r="D70" s="145">
        <f t="shared" si="23"/>
        <v>27.129277746478873</v>
      </c>
      <c r="E70" s="20">
        <f t="shared" si="23"/>
        <v>1.1303865727699531</v>
      </c>
      <c r="F70" s="190"/>
      <c r="G70" s="146">
        <f t="shared" si="19"/>
        <v>0</v>
      </c>
      <c r="H70" s="146">
        <f t="shared" si="24"/>
        <v>0</v>
      </c>
      <c r="I70" s="147">
        <f t="shared" si="24"/>
        <v>0</v>
      </c>
      <c r="K70" s="93">
        <f>B70/$K$68</f>
        <v>0.11090342751257309</v>
      </c>
    </row>
    <row r="71" spans="1:11" x14ac:dyDescent="0.25">
      <c r="A71" s="94" t="s">
        <v>135</v>
      </c>
      <c r="B71" s="175">
        <v>0</v>
      </c>
      <c r="C71" s="144">
        <f t="shared" si="22"/>
        <v>0</v>
      </c>
      <c r="D71" s="145">
        <f t="shared" si="23"/>
        <v>0</v>
      </c>
      <c r="E71" s="20">
        <f t="shared" si="23"/>
        <v>0</v>
      </c>
      <c r="F71" s="190">
        <v>0</v>
      </c>
      <c r="G71" s="146">
        <f t="shared" si="19"/>
        <v>0</v>
      </c>
      <c r="H71" s="146">
        <f t="shared" si="24"/>
        <v>0</v>
      </c>
      <c r="I71" s="147">
        <f t="shared" si="24"/>
        <v>0</v>
      </c>
      <c r="K71" s="93">
        <f>B71/$B$68</f>
        <v>0</v>
      </c>
    </row>
    <row r="72" spans="1:11" x14ac:dyDescent="0.25">
      <c r="A72" s="94" t="s">
        <v>136</v>
      </c>
      <c r="B72" s="175">
        <v>0</v>
      </c>
      <c r="C72" s="144">
        <f t="shared" si="22"/>
        <v>0</v>
      </c>
      <c r="D72" s="145">
        <f t="shared" si="23"/>
        <v>0</v>
      </c>
      <c r="E72" s="20">
        <f t="shared" si="23"/>
        <v>0</v>
      </c>
      <c r="F72" s="190">
        <v>0</v>
      </c>
      <c r="G72" s="146">
        <f t="shared" si="19"/>
        <v>0</v>
      </c>
      <c r="H72" s="146">
        <f t="shared" si="24"/>
        <v>0</v>
      </c>
      <c r="I72" s="147">
        <f t="shared" si="24"/>
        <v>0</v>
      </c>
      <c r="K72" s="93">
        <f>B72/$B$68</f>
        <v>0</v>
      </c>
    </row>
    <row r="73" spans="1:11" x14ac:dyDescent="0.25">
      <c r="A73" s="94" t="s">
        <v>137</v>
      </c>
      <c r="B73" s="175">
        <v>2532.0772780000002</v>
      </c>
      <c r="C73" s="144">
        <f t="shared" si="22"/>
        <v>105.50321991666668</v>
      </c>
      <c r="D73" s="145">
        <f t="shared" si="23"/>
        <v>237.75373502347418</v>
      </c>
      <c r="E73" s="20">
        <f t="shared" si="23"/>
        <v>9.9064056259780919</v>
      </c>
      <c r="F73" s="190">
        <v>0</v>
      </c>
      <c r="G73" s="146">
        <f t="shared" si="19"/>
        <v>0</v>
      </c>
      <c r="H73" s="146">
        <f t="shared" si="24"/>
        <v>0</v>
      </c>
      <c r="I73" s="147">
        <f t="shared" si="24"/>
        <v>0</v>
      </c>
      <c r="K73" s="93">
        <v>0</v>
      </c>
    </row>
    <row r="74" spans="1:11" ht="17.25" thickBot="1" x14ac:dyDescent="0.3">
      <c r="A74" s="119" t="s">
        <v>139</v>
      </c>
      <c r="B74" s="191">
        <v>0</v>
      </c>
      <c r="C74" s="185">
        <f t="shared" si="22"/>
        <v>0</v>
      </c>
      <c r="D74" s="186">
        <f t="shared" si="23"/>
        <v>0</v>
      </c>
      <c r="E74" s="21">
        <f t="shared" si="23"/>
        <v>0</v>
      </c>
      <c r="F74" s="192">
        <v>0</v>
      </c>
      <c r="G74" s="193">
        <f t="shared" si="19"/>
        <v>0</v>
      </c>
      <c r="H74" s="193">
        <f t="shared" si="24"/>
        <v>0</v>
      </c>
      <c r="I74" s="194">
        <f t="shared" si="24"/>
        <v>0</v>
      </c>
      <c r="K74" s="93">
        <f>B74/$B$68</f>
        <v>0</v>
      </c>
    </row>
    <row r="75" spans="1:11" x14ac:dyDescent="0.25">
      <c r="A75" s="195"/>
      <c r="B75" s="196"/>
      <c r="C75" s="197"/>
      <c r="D75" s="198"/>
      <c r="E75" s="199"/>
      <c r="F75" s="200"/>
      <c r="G75" s="200"/>
      <c r="H75" s="200"/>
      <c r="I75" s="200"/>
    </row>
    <row r="76" spans="1:11" ht="15" customHeight="1" thickBot="1" x14ac:dyDescent="0.3">
      <c r="A76" s="18"/>
      <c r="B76" s="18"/>
      <c r="C76" s="18"/>
      <c r="D76" s="201"/>
      <c r="E76" s="19"/>
      <c r="F76" s="19"/>
      <c r="G76" s="19"/>
      <c r="H76" s="19"/>
      <c r="I76" s="19"/>
    </row>
    <row r="77" spans="1:11" ht="21.75" customHeight="1" x14ac:dyDescent="0.25">
      <c r="A77" s="484" t="s">
        <v>17</v>
      </c>
      <c r="B77" s="494" t="s">
        <v>140</v>
      </c>
      <c r="C77" s="495"/>
      <c r="D77" s="495"/>
      <c r="E77" s="496"/>
      <c r="F77" s="497" t="s">
        <v>141</v>
      </c>
      <c r="G77" s="495"/>
      <c r="H77" s="495"/>
      <c r="I77" s="496"/>
    </row>
    <row r="78" spans="1:11" x14ac:dyDescent="0.25">
      <c r="A78" s="485"/>
      <c r="B78" s="68" t="s">
        <v>2</v>
      </c>
      <c r="C78" s="69" t="s">
        <v>3</v>
      </c>
      <c r="D78" s="69" t="s">
        <v>4</v>
      </c>
      <c r="E78" s="70" t="s">
        <v>5</v>
      </c>
      <c r="F78" s="127" t="s">
        <v>2</v>
      </c>
      <c r="G78" s="69" t="s">
        <v>3</v>
      </c>
      <c r="H78" s="69" t="s">
        <v>4</v>
      </c>
      <c r="I78" s="70" t="s">
        <v>5</v>
      </c>
    </row>
    <row r="79" spans="1:11" ht="17.25" thickBot="1" x14ac:dyDescent="0.3">
      <c r="A79" s="202" t="s">
        <v>18</v>
      </c>
      <c r="B79" s="508"/>
      <c r="C79" s="509"/>
      <c r="D79" s="509"/>
      <c r="E79" s="509"/>
      <c r="F79" s="509"/>
      <c r="G79" s="509"/>
      <c r="H79" s="509"/>
      <c r="I79" s="510"/>
    </row>
    <row r="80" spans="1:11" ht="17.25" thickBot="1" x14ac:dyDescent="0.35">
      <c r="A80" s="203" t="s">
        <v>122</v>
      </c>
      <c r="B80" s="129">
        <f>SUM(B81:B85)</f>
        <v>1340.2840000000001</v>
      </c>
      <c r="C80" s="130">
        <f t="shared" ref="C80:C91" si="25">B80/$N$1</f>
        <v>55.845166666666671</v>
      </c>
      <c r="D80" s="204">
        <f t="shared" ref="D80:E91" si="26">B80/10.65</f>
        <v>125.84826291079813</v>
      </c>
      <c r="E80" s="132">
        <f t="shared" si="26"/>
        <v>5.243677621283255</v>
      </c>
      <c r="F80" s="205">
        <v>1800</v>
      </c>
      <c r="G80" s="206">
        <f t="shared" ref="G80:G91" si="27">F80/$N$1</f>
        <v>75</v>
      </c>
      <c r="H80" s="206">
        <f t="shared" ref="H80:I91" si="28">F80/10.65</f>
        <v>169.01408450704224</v>
      </c>
      <c r="I80" s="207">
        <f t="shared" si="28"/>
        <v>7.0422535211267601</v>
      </c>
    </row>
    <row r="81" spans="1:11" x14ac:dyDescent="0.3">
      <c r="A81" s="208" t="s">
        <v>123</v>
      </c>
      <c r="B81" s="136">
        <v>0</v>
      </c>
      <c r="C81" s="137">
        <f t="shared" si="25"/>
        <v>0</v>
      </c>
      <c r="D81" s="209">
        <f t="shared" si="26"/>
        <v>0</v>
      </c>
      <c r="E81" s="139">
        <f t="shared" si="26"/>
        <v>0</v>
      </c>
      <c r="F81" s="210">
        <v>0</v>
      </c>
      <c r="G81" s="211">
        <f t="shared" si="27"/>
        <v>0</v>
      </c>
      <c r="H81" s="211">
        <f t="shared" si="28"/>
        <v>0</v>
      </c>
      <c r="I81" s="212">
        <f t="shared" si="28"/>
        <v>0</v>
      </c>
    </row>
    <row r="82" spans="1:11" x14ac:dyDescent="0.3">
      <c r="A82" s="213" t="s">
        <v>124</v>
      </c>
      <c r="B82" s="143">
        <v>0</v>
      </c>
      <c r="C82" s="144">
        <f t="shared" si="25"/>
        <v>0</v>
      </c>
      <c r="D82" s="214">
        <f t="shared" si="26"/>
        <v>0</v>
      </c>
      <c r="E82" s="20">
        <f t="shared" si="26"/>
        <v>0</v>
      </c>
      <c r="F82" s="215">
        <v>0</v>
      </c>
      <c r="G82" s="216">
        <f t="shared" si="27"/>
        <v>0</v>
      </c>
      <c r="H82" s="216">
        <f t="shared" si="28"/>
        <v>0</v>
      </c>
      <c r="I82" s="217">
        <f t="shared" si="28"/>
        <v>0</v>
      </c>
    </row>
    <row r="83" spans="1:11" x14ac:dyDescent="0.3">
      <c r="A83" s="213" t="s">
        <v>126</v>
      </c>
      <c r="B83" s="143">
        <v>0</v>
      </c>
      <c r="C83" s="144">
        <f t="shared" si="25"/>
        <v>0</v>
      </c>
      <c r="D83" s="214">
        <f t="shared" si="26"/>
        <v>0</v>
      </c>
      <c r="E83" s="20">
        <f t="shared" si="26"/>
        <v>0</v>
      </c>
      <c r="F83" s="215">
        <v>0</v>
      </c>
      <c r="G83" s="216">
        <f t="shared" si="27"/>
        <v>0</v>
      </c>
      <c r="H83" s="216">
        <f t="shared" si="28"/>
        <v>0</v>
      </c>
      <c r="I83" s="217">
        <f t="shared" si="28"/>
        <v>0</v>
      </c>
    </row>
    <row r="84" spans="1:11" x14ac:dyDescent="0.3">
      <c r="A84" s="213" t="s">
        <v>128</v>
      </c>
      <c r="B84" s="143">
        <v>0</v>
      </c>
      <c r="C84" s="144">
        <f t="shared" si="25"/>
        <v>0</v>
      </c>
      <c r="D84" s="214">
        <f t="shared" si="26"/>
        <v>0</v>
      </c>
      <c r="E84" s="20">
        <f t="shared" si="26"/>
        <v>0</v>
      </c>
      <c r="F84" s="215">
        <v>0</v>
      </c>
      <c r="G84" s="216">
        <f t="shared" si="27"/>
        <v>0</v>
      </c>
      <c r="H84" s="216">
        <f t="shared" si="28"/>
        <v>0</v>
      </c>
      <c r="I84" s="217">
        <f t="shared" si="28"/>
        <v>0</v>
      </c>
    </row>
    <row r="85" spans="1:11" ht="17.25" thickBot="1" x14ac:dyDescent="0.35">
      <c r="A85" s="218" t="s">
        <v>129</v>
      </c>
      <c r="B85" s="148">
        <v>1340.2840000000001</v>
      </c>
      <c r="C85" s="149">
        <f t="shared" si="25"/>
        <v>55.845166666666671</v>
      </c>
      <c r="D85" s="219">
        <f t="shared" si="26"/>
        <v>125.84826291079813</v>
      </c>
      <c r="E85" s="151">
        <f t="shared" si="26"/>
        <v>5.243677621283255</v>
      </c>
      <c r="F85" s="220">
        <v>1800</v>
      </c>
      <c r="G85" s="221">
        <f t="shared" si="27"/>
        <v>75</v>
      </c>
      <c r="H85" s="221">
        <f t="shared" si="28"/>
        <v>169.01408450704224</v>
      </c>
      <c r="I85" s="222">
        <f t="shared" si="28"/>
        <v>7.0422535211267601</v>
      </c>
    </row>
    <row r="86" spans="1:11" ht="17.25" thickBot="1" x14ac:dyDescent="0.3">
      <c r="A86" s="223" t="s">
        <v>132</v>
      </c>
      <c r="B86" s="129">
        <f>SUM(B87:B91)</f>
        <v>635.68399999999986</v>
      </c>
      <c r="C86" s="130">
        <f t="shared" si="25"/>
        <v>26.486833333333326</v>
      </c>
      <c r="D86" s="204">
        <f t="shared" si="26"/>
        <v>59.688638497652569</v>
      </c>
      <c r="E86" s="132">
        <f t="shared" si="26"/>
        <v>2.4870266040688569</v>
      </c>
      <c r="F86" s="224">
        <v>0</v>
      </c>
      <c r="G86" s="206">
        <f t="shared" si="27"/>
        <v>0</v>
      </c>
      <c r="H86" s="206">
        <f t="shared" si="28"/>
        <v>0</v>
      </c>
      <c r="I86" s="207">
        <f>G86/10.65</f>
        <v>0</v>
      </c>
    </row>
    <row r="87" spans="1:11" x14ac:dyDescent="0.3">
      <c r="A87" s="208" t="s">
        <v>133</v>
      </c>
      <c r="B87" s="136">
        <v>0.36799999999999999</v>
      </c>
      <c r="C87" s="137">
        <f t="shared" si="25"/>
        <v>1.5333333333333332E-2</v>
      </c>
      <c r="D87" s="209">
        <f t="shared" si="26"/>
        <v>3.4553990610328635E-2</v>
      </c>
      <c r="E87" s="139">
        <f t="shared" si="26"/>
        <v>1.4397496087636933E-3</v>
      </c>
      <c r="F87" s="210">
        <v>0</v>
      </c>
      <c r="G87" s="211">
        <f t="shared" si="27"/>
        <v>0</v>
      </c>
      <c r="H87" s="211">
        <f t="shared" si="28"/>
        <v>0</v>
      </c>
      <c r="I87" s="212">
        <f t="shared" si="28"/>
        <v>0</v>
      </c>
    </row>
    <row r="88" spans="1:11" x14ac:dyDescent="0.3">
      <c r="A88" s="213" t="s">
        <v>134</v>
      </c>
      <c r="B88" s="143">
        <v>635.3159999999998</v>
      </c>
      <c r="C88" s="144">
        <f t="shared" si="25"/>
        <v>26.471499999999992</v>
      </c>
      <c r="D88" s="214">
        <f t="shared" si="26"/>
        <v>59.654084507042235</v>
      </c>
      <c r="E88" s="20">
        <f t="shared" si="26"/>
        <v>2.485586854460093</v>
      </c>
      <c r="F88" s="215">
        <v>0</v>
      </c>
      <c r="G88" s="216">
        <f t="shared" si="27"/>
        <v>0</v>
      </c>
      <c r="H88" s="216">
        <f t="shared" si="28"/>
        <v>0</v>
      </c>
      <c r="I88" s="217">
        <f t="shared" si="28"/>
        <v>0</v>
      </c>
    </row>
    <row r="89" spans="1:11" x14ac:dyDescent="0.3">
      <c r="A89" s="213" t="s">
        <v>136</v>
      </c>
      <c r="B89" s="143">
        <v>0</v>
      </c>
      <c r="C89" s="144">
        <f t="shared" si="25"/>
        <v>0</v>
      </c>
      <c r="D89" s="214">
        <f t="shared" si="26"/>
        <v>0</v>
      </c>
      <c r="E89" s="20">
        <f t="shared" si="26"/>
        <v>0</v>
      </c>
      <c r="F89" s="215">
        <v>0</v>
      </c>
      <c r="G89" s="216">
        <f t="shared" si="27"/>
        <v>0</v>
      </c>
      <c r="H89" s="216">
        <f t="shared" si="28"/>
        <v>0</v>
      </c>
      <c r="I89" s="217">
        <f t="shared" si="28"/>
        <v>0</v>
      </c>
    </row>
    <row r="90" spans="1:11" x14ac:dyDescent="0.3">
      <c r="A90" s="213" t="s">
        <v>137</v>
      </c>
      <c r="B90" s="143">
        <v>0</v>
      </c>
      <c r="C90" s="144">
        <f t="shared" si="25"/>
        <v>0</v>
      </c>
      <c r="D90" s="214">
        <f t="shared" si="26"/>
        <v>0</v>
      </c>
      <c r="E90" s="20">
        <f t="shared" si="26"/>
        <v>0</v>
      </c>
      <c r="F90" s="215">
        <v>0</v>
      </c>
      <c r="G90" s="216">
        <f t="shared" si="27"/>
        <v>0</v>
      </c>
      <c r="H90" s="216">
        <f t="shared" si="28"/>
        <v>0</v>
      </c>
      <c r="I90" s="217">
        <f t="shared" si="28"/>
        <v>0</v>
      </c>
    </row>
    <row r="91" spans="1:11" ht="17.25" thickBot="1" x14ac:dyDescent="0.35">
      <c r="A91" s="225" t="s">
        <v>139</v>
      </c>
      <c r="B91" s="184">
        <v>0</v>
      </c>
      <c r="C91" s="185">
        <f t="shared" si="25"/>
        <v>0</v>
      </c>
      <c r="D91" s="226">
        <f t="shared" si="26"/>
        <v>0</v>
      </c>
      <c r="E91" s="21">
        <f t="shared" si="26"/>
        <v>0</v>
      </c>
      <c r="F91" s="227">
        <v>0</v>
      </c>
      <c r="G91" s="228">
        <f t="shared" si="27"/>
        <v>0</v>
      </c>
      <c r="H91" s="228">
        <f t="shared" si="28"/>
        <v>0</v>
      </c>
      <c r="I91" s="229">
        <f t="shared" si="28"/>
        <v>0</v>
      </c>
    </row>
    <row r="92" spans="1:11" ht="17.25" thickBot="1" x14ac:dyDescent="0.3">
      <c r="A92" s="202" t="s">
        <v>19</v>
      </c>
      <c r="B92" s="498"/>
      <c r="C92" s="499"/>
      <c r="D92" s="499"/>
      <c r="E92" s="499"/>
      <c r="F92" s="499"/>
      <c r="G92" s="499"/>
      <c r="H92" s="499"/>
      <c r="I92" s="500"/>
    </row>
    <row r="93" spans="1:11" ht="17.25" thickBot="1" x14ac:dyDescent="0.3">
      <c r="A93" s="203" t="s">
        <v>122</v>
      </c>
      <c r="B93" s="129">
        <f>SUM(B94:B98)</f>
        <v>94825.271000000008</v>
      </c>
      <c r="C93" s="130">
        <f t="shared" ref="C93:C104" si="29">B93/$N$1</f>
        <v>3951.0529583333337</v>
      </c>
      <c r="D93" s="204">
        <f t="shared" ref="D93:E104" si="30">B93/10.65</f>
        <v>8903.7813145539913</v>
      </c>
      <c r="E93" s="132">
        <f t="shared" si="30"/>
        <v>370.99088810641632</v>
      </c>
      <c r="F93" s="224">
        <v>50000</v>
      </c>
      <c r="G93" s="206">
        <f t="shared" ref="G93:G104" si="31">F93/$N$1</f>
        <v>2083.3333333333335</v>
      </c>
      <c r="H93" s="206">
        <f t="shared" ref="H93:I104" si="32">F93/10.65</f>
        <v>4694.8356807511736</v>
      </c>
      <c r="I93" s="207">
        <f t="shared" si="32"/>
        <v>195.61815336463224</v>
      </c>
    </row>
    <row r="94" spans="1:11" x14ac:dyDescent="0.25">
      <c r="A94" s="208" t="s">
        <v>123</v>
      </c>
      <c r="B94" s="136">
        <v>11494.880999999999</v>
      </c>
      <c r="C94" s="137">
        <f t="shared" si="29"/>
        <v>478.95337499999999</v>
      </c>
      <c r="D94" s="209">
        <f t="shared" si="30"/>
        <v>1079.3315492957745</v>
      </c>
      <c r="E94" s="139">
        <f t="shared" si="30"/>
        <v>44.972147887323942</v>
      </c>
      <c r="F94" s="230">
        <f>$F$93*K94</f>
        <v>6061.0852353904684</v>
      </c>
      <c r="G94" s="211">
        <f t="shared" si="31"/>
        <v>252.54521814126952</v>
      </c>
      <c r="H94" s="211">
        <f t="shared" si="32"/>
        <v>569.11598454370596</v>
      </c>
      <c r="I94" s="212">
        <f t="shared" si="32"/>
        <v>23.713166022654413</v>
      </c>
      <c r="K94" s="93">
        <f>B94/$B$93</f>
        <v>0.12122170470780937</v>
      </c>
    </row>
    <row r="95" spans="1:11" x14ac:dyDescent="0.25">
      <c r="A95" s="213" t="s">
        <v>124</v>
      </c>
      <c r="B95" s="143">
        <v>53465.241999999998</v>
      </c>
      <c r="C95" s="144">
        <f t="shared" si="29"/>
        <v>2227.7184166666666</v>
      </c>
      <c r="D95" s="214">
        <f t="shared" si="30"/>
        <v>5020.2105164319246</v>
      </c>
      <c r="E95" s="20">
        <f t="shared" si="30"/>
        <v>209.17543818466353</v>
      </c>
      <c r="F95" s="230">
        <f>$F$93*K95</f>
        <v>28191.452255380318</v>
      </c>
      <c r="G95" s="216">
        <f t="shared" si="31"/>
        <v>1174.6438439741798</v>
      </c>
      <c r="H95" s="216">
        <f t="shared" si="32"/>
        <v>2647.0847188150533</v>
      </c>
      <c r="I95" s="217">
        <f t="shared" si="32"/>
        <v>110.29519661729388</v>
      </c>
      <c r="K95" s="93">
        <f>B95/$B$93</f>
        <v>0.56382904510760634</v>
      </c>
    </row>
    <row r="96" spans="1:11" x14ac:dyDescent="0.25">
      <c r="A96" s="213" t="s">
        <v>126</v>
      </c>
      <c r="B96" s="143">
        <v>0</v>
      </c>
      <c r="C96" s="144">
        <f t="shared" si="29"/>
        <v>0</v>
      </c>
      <c r="D96" s="214">
        <f t="shared" si="30"/>
        <v>0</v>
      </c>
      <c r="E96" s="20">
        <f t="shared" si="30"/>
        <v>0</v>
      </c>
      <c r="F96" s="230">
        <f>$F$93*K96</f>
        <v>0</v>
      </c>
      <c r="G96" s="216">
        <f t="shared" si="31"/>
        <v>0</v>
      </c>
      <c r="H96" s="216">
        <f t="shared" si="32"/>
        <v>0</v>
      </c>
      <c r="I96" s="217">
        <f t="shared" si="32"/>
        <v>0</v>
      </c>
      <c r="K96" s="93">
        <f>B96/$B$93</f>
        <v>0</v>
      </c>
    </row>
    <row r="97" spans="1:11" x14ac:dyDescent="0.25">
      <c r="A97" s="213" t="s">
        <v>128</v>
      </c>
      <c r="B97" s="143">
        <v>0</v>
      </c>
      <c r="C97" s="144">
        <f t="shared" si="29"/>
        <v>0</v>
      </c>
      <c r="D97" s="214">
        <f t="shared" si="30"/>
        <v>0</v>
      </c>
      <c r="E97" s="20">
        <f t="shared" si="30"/>
        <v>0</v>
      </c>
      <c r="F97" s="230">
        <f>$F$93*K97</f>
        <v>0</v>
      </c>
      <c r="G97" s="216">
        <f t="shared" si="31"/>
        <v>0</v>
      </c>
      <c r="H97" s="216">
        <f t="shared" si="32"/>
        <v>0</v>
      </c>
      <c r="I97" s="217">
        <f t="shared" si="32"/>
        <v>0</v>
      </c>
      <c r="K97" s="93">
        <f>B97/$B$93</f>
        <v>0</v>
      </c>
    </row>
    <row r="98" spans="1:11" ht="17.25" thickBot="1" x14ac:dyDescent="0.3">
      <c r="A98" s="218" t="s">
        <v>129</v>
      </c>
      <c r="B98" s="148">
        <v>29865.148000000001</v>
      </c>
      <c r="C98" s="149">
        <f t="shared" si="29"/>
        <v>1244.3811666666668</v>
      </c>
      <c r="D98" s="219">
        <f t="shared" si="30"/>
        <v>2804.2392488262913</v>
      </c>
      <c r="E98" s="151">
        <f t="shared" si="30"/>
        <v>116.8433020344288</v>
      </c>
      <c r="F98" s="230">
        <f>$F$93*K98</f>
        <v>15747.46250922921</v>
      </c>
      <c r="G98" s="221">
        <f t="shared" si="31"/>
        <v>656.14427121788378</v>
      </c>
      <c r="H98" s="221">
        <f t="shared" si="32"/>
        <v>1478.6349773924139</v>
      </c>
      <c r="I98" s="222">
        <f t="shared" si="32"/>
        <v>61.609790724683918</v>
      </c>
      <c r="K98" s="93">
        <f>B98/$B$93</f>
        <v>0.3149492501845842</v>
      </c>
    </row>
    <row r="99" spans="1:11" ht="17.25" thickBot="1" x14ac:dyDescent="0.3">
      <c r="A99" s="223" t="s">
        <v>132</v>
      </c>
      <c r="B99" s="129">
        <f>SUM(B100:B104)</f>
        <v>89583.60500000004</v>
      </c>
      <c r="C99" s="130">
        <f t="shared" si="29"/>
        <v>3732.6502083333348</v>
      </c>
      <c r="D99" s="204">
        <f t="shared" si="30"/>
        <v>8411.606103286389</v>
      </c>
      <c r="E99" s="132">
        <f t="shared" si="30"/>
        <v>350.48358763693284</v>
      </c>
      <c r="F99" s="231">
        <f>SUM(F100:F104)</f>
        <v>9960.4484883143487</v>
      </c>
      <c r="G99" s="232">
        <f t="shared" si="31"/>
        <v>415.01868701309786</v>
      </c>
      <c r="H99" s="232">
        <f t="shared" si="32"/>
        <v>935.25337918444586</v>
      </c>
      <c r="I99" s="233">
        <f t="shared" si="32"/>
        <v>38.968890799351911</v>
      </c>
    </row>
    <row r="100" spans="1:11" x14ac:dyDescent="0.25">
      <c r="A100" s="208" t="s">
        <v>133</v>
      </c>
      <c r="B100" s="136">
        <v>17845.857660000001</v>
      </c>
      <c r="C100" s="137">
        <f t="shared" si="29"/>
        <v>743.57740250000006</v>
      </c>
      <c r="D100" s="209">
        <f t="shared" si="30"/>
        <v>1675.667385915493</v>
      </c>
      <c r="E100" s="139">
        <f t="shared" si="30"/>
        <v>69.819474413145542</v>
      </c>
      <c r="F100" s="234">
        <v>9960.4484883143487</v>
      </c>
      <c r="G100" s="235">
        <f t="shared" si="31"/>
        <v>415.01868701309786</v>
      </c>
      <c r="H100" s="235">
        <f t="shared" si="32"/>
        <v>935.25337918444586</v>
      </c>
      <c r="I100" s="236">
        <f t="shared" si="32"/>
        <v>38.968890799351911</v>
      </c>
      <c r="K100" s="93">
        <f>B100/$B$99</f>
        <v>0.19920896976628696</v>
      </c>
    </row>
    <row r="101" spans="1:11" x14ac:dyDescent="0.25">
      <c r="A101" s="213" t="s">
        <v>134</v>
      </c>
      <c r="B101" s="143">
        <v>71737.747340000031</v>
      </c>
      <c r="C101" s="144">
        <f t="shared" si="29"/>
        <v>2989.0728058333348</v>
      </c>
      <c r="D101" s="214">
        <f t="shared" si="30"/>
        <v>6735.9387173708947</v>
      </c>
      <c r="E101" s="20">
        <f t="shared" si="30"/>
        <v>280.6641132237873</v>
      </c>
      <c r="F101" s="230"/>
      <c r="G101" s="216">
        <f t="shared" si="31"/>
        <v>0</v>
      </c>
      <c r="H101" s="216">
        <f t="shared" si="32"/>
        <v>0</v>
      </c>
      <c r="I101" s="217">
        <f t="shared" si="32"/>
        <v>0</v>
      </c>
      <c r="K101" s="93">
        <f>B101/$B$99</f>
        <v>0.80079103023371301</v>
      </c>
    </row>
    <row r="102" spans="1:11" x14ac:dyDescent="0.25">
      <c r="A102" s="213" t="s">
        <v>136</v>
      </c>
      <c r="B102" s="143">
        <v>0</v>
      </c>
      <c r="C102" s="144">
        <f t="shared" si="29"/>
        <v>0</v>
      </c>
      <c r="D102" s="214">
        <f t="shared" si="30"/>
        <v>0</v>
      </c>
      <c r="E102" s="20">
        <f t="shared" si="30"/>
        <v>0</v>
      </c>
      <c r="F102" s="230">
        <v>0</v>
      </c>
      <c r="G102" s="216">
        <f t="shared" si="31"/>
        <v>0</v>
      </c>
      <c r="H102" s="216">
        <f t="shared" si="32"/>
        <v>0</v>
      </c>
      <c r="I102" s="217">
        <f t="shared" si="32"/>
        <v>0</v>
      </c>
      <c r="K102" s="93">
        <f>B102/$B$99</f>
        <v>0</v>
      </c>
    </row>
    <row r="103" spans="1:11" x14ac:dyDescent="0.25">
      <c r="A103" s="213" t="s">
        <v>137</v>
      </c>
      <c r="B103" s="143">
        <v>0</v>
      </c>
      <c r="C103" s="144">
        <f t="shared" si="29"/>
        <v>0</v>
      </c>
      <c r="D103" s="214">
        <f t="shared" si="30"/>
        <v>0</v>
      </c>
      <c r="E103" s="20">
        <f t="shared" si="30"/>
        <v>0</v>
      </c>
      <c r="F103" s="230">
        <v>0</v>
      </c>
      <c r="G103" s="216">
        <f t="shared" si="31"/>
        <v>0</v>
      </c>
      <c r="H103" s="216">
        <f t="shared" si="32"/>
        <v>0</v>
      </c>
      <c r="I103" s="217">
        <f t="shared" si="32"/>
        <v>0</v>
      </c>
      <c r="K103" s="93">
        <f>B103/$B$99</f>
        <v>0</v>
      </c>
    </row>
    <row r="104" spans="1:11" ht="17.25" thickBot="1" x14ac:dyDescent="0.3">
      <c r="A104" s="225" t="s">
        <v>139</v>
      </c>
      <c r="B104" s="184">
        <v>0</v>
      </c>
      <c r="C104" s="185">
        <f t="shared" si="29"/>
        <v>0</v>
      </c>
      <c r="D104" s="226">
        <f t="shared" si="30"/>
        <v>0</v>
      </c>
      <c r="E104" s="21">
        <f t="shared" si="30"/>
        <v>0</v>
      </c>
      <c r="F104" s="237">
        <v>0</v>
      </c>
      <c r="G104" s="228">
        <f t="shared" si="31"/>
        <v>0</v>
      </c>
      <c r="H104" s="228">
        <f t="shared" si="32"/>
        <v>0</v>
      </c>
      <c r="I104" s="229">
        <f t="shared" si="32"/>
        <v>0</v>
      </c>
      <c r="K104" s="93">
        <f>B104/$B$99</f>
        <v>0</v>
      </c>
    </row>
    <row r="105" spans="1:11" ht="17.25" thickBot="1" x14ac:dyDescent="0.3">
      <c r="A105" s="202" t="s">
        <v>20</v>
      </c>
      <c r="B105" s="498"/>
      <c r="C105" s="499"/>
      <c r="D105" s="499"/>
      <c r="E105" s="499"/>
      <c r="F105" s="499"/>
      <c r="G105" s="499"/>
      <c r="H105" s="499"/>
      <c r="I105" s="500"/>
    </row>
    <row r="106" spans="1:11" ht="17.25" thickBot="1" x14ac:dyDescent="0.3">
      <c r="A106" s="203" t="s">
        <v>122</v>
      </c>
      <c r="B106" s="129">
        <f>SUM(B107:B111)</f>
        <v>175565.54</v>
      </c>
      <c r="C106" s="130">
        <f t="shared" ref="C106:C117" si="33">B106/$N$1</f>
        <v>7315.230833333334</v>
      </c>
      <c r="D106" s="204">
        <f t="shared" ref="D106:E117" si="34">B106/10.65</f>
        <v>16485.027230046948</v>
      </c>
      <c r="E106" s="132">
        <f t="shared" si="34"/>
        <v>686.87613458528961</v>
      </c>
      <c r="F106" s="224">
        <v>120000</v>
      </c>
      <c r="G106" s="206">
        <f t="shared" ref="G106:G117" si="35">F106/$N$1</f>
        <v>5000</v>
      </c>
      <c r="H106" s="206">
        <f t="shared" ref="H106:I117" si="36">F106/10.65</f>
        <v>11267.605633802816</v>
      </c>
      <c r="I106" s="207">
        <f t="shared" si="36"/>
        <v>469.48356807511738</v>
      </c>
    </row>
    <row r="107" spans="1:11" x14ac:dyDescent="0.25">
      <c r="A107" s="208" t="s">
        <v>123</v>
      </c>
      <c r="B107" s="136">
        <v>56726.631999999998</v>
      </c>
      <c r="C107" s="137">
        <f t="shared" si="33"/>
        <v>2363.6096666666667</v>
      </c>
      <c r="D107" s="209">
        <f t="shared" si="34"/>
        <v>5326.4443192488261</v>
      </c>
      <c r="E107" s="139">
        <f t="shared" si="34"/>
        <v>221.93517996870111</v>
      </c>
      <c r="F107" s="230">
        <f>$F$106*K107</f>
        <v>38772.961026406432</v>
      </c>
      <c r="G107" s="211">
        <f t="shared" si="35"/>
        <v>1615.5400427669347</v>
      </c>
      <c r="H107" s="211">
        <f t="shared" si="36"/>
        <v>3640.6536175029514</v>
      </c>
      <c r="I107" s="212">
        <f t="shared" si="36"/>
        <v>151.69390072928962</v>
      </c>
      <c r="K107" s="93">
        <f>B107/$B$106</f>
        <v>0.32310800855338695</v>
      </c>
    </row>
    <row r="108" spans="1:11" x14ac:dyDescent="0.25">
      <c r="A108" s="213" t="s">
        <v>124</v>
      </c>
      <c r="B108" s="143">
        <v>72981.608000000007</v>
      </c>
      <c r="C108" s="144">
        <f t="shared" si="33"/>
        <v>3040.9003333333335</v>
      </c>
      <c r="D108" s="214">
        <f t="shared" si="34"/>
        <v>6852.7331455399062</v>
      </c>
      <c r="E108" s="20">
        <f t="shared" si="34"/>
        <v>285.53054773082943</v>
      </c>
      <c r="F108" s="230">
        <f>$F$106*K108</f>
        <v>49883.325395177213</v>
      </c>
      <c r="G108" s="216">
        <f t="shared" si="35"/>
        <v>2078.4718914657174</v>
      </c>
      <c r="H108" s="216">
        <f t="shared" si="36"/>
        <v>4683.880318795982</v>
      </c>
      <c r="I108" s="217">
        <f t="shared" si="36"/>
        <v>195.1616799498326</v>
      </c>
      <c r="K108" s="93">
        <f>B108/$B$106</f>
        <v>0.41569437829314343</v>
      </c>
    </row>
    <row r="109" spans="1:11" x14ac:dyDescent="0.25">
      <c r="A109" s="213" t="s">
        <v>126</v>
      </c>
      <c r="B109" s="143">
        <v>244</v>
      </c>
      <c r="C109" s="144">
        <f t="shared" si="33"/>
        <v>10.166666666666666</v>
      </c>
      <c r="D109" s="214">
        <f t="shared" si="34"/>
        <v>22.910798122065728</v>
      </c>
      <c r="E109" s="20">
        <f t="shared" si="34"/>
        <v>0.95461658841940522</v>
      </c>
      <c r="F109" s="230">
        <f>$F$106*K109</f>
        <v>166.77532504385542</v>
      </c>
      <c r="G109" s="216">
        <f t="shared" si="35"/>
        <v>6.9489718768273088</v>
      </c>
      <c r="H109" s="216">
        <f t="shared" si="36"/>
        <v>15.659654933695343</v>
      </c>
      <c r="I109" s="217">
        <f t="shared" si="36"/>
        <v>0.652485622237306</v>
      </c>
      <c r="K109" s="93">
        <f>B109/$B$106</f>
        <v>1.3897943753654618E-3</v>
      </c>
    </row>
    <row r="110" spans="1:11" x14ac:dyDescent="0.25">
      <c r="A110" s="213" t="s">
        <v>128</v>
      </c>
      <c r="B110" s="143">
        <v>945</v>
      </c>
      <c r="C110" s="144">
        <f t="shared" si="33"/>
        <v>39.375</v>
      </c>
      <c r="D110" s="214">
        <f t="shared" si="34"/>
        <v>88.732394366197184</v>
      </c>
      <c r="E110" s="20">
        <f t="shared" si="34"/>
        <v>3.697183098591549</v>
      </c>
      <c r="F110" s="230">
        <f>$F$106*K110</f>
        <v>645.91263182968589</v>
      </c>
      <c r="G110" s="216">
        <f t="shared" si="35"/>
        <v>26.913026326236913</v>
      </c>
      <c r="H110" s="216">
        <f t="shared" si="36"/>
        <v>60.649073411238113</v>
      </c>
      <c r="I110" s="217">
        <f t="shared" si="36"/>
        <v>2.5270447254682549</v>
      </c>
      <c r="K110" s="93">
        <f>B110/$B$106</f>
        <v>5.3826052652473826E-3</v>
      </c>
    </row>
    <row r="111" spans="1:11" ht="17.25" thickBot="1" x14ac:dyDescent="0.3">
      <c r="A111" s="218" t="s">
        <v>129</v>
      </c>
      <c r="B111" s="148">
        <v>44668.299999999996</v>
      </c>
      <c r="C111" s="149">
        <f t="shared" si="33"/>
        <v>1861.1791666666666</v>
      </c>
      <c r="D111" s="219">
        <f t="shared" si="34"/>
        <v>4194.2065727699528</v>
      </c>
      <c r="E111" s="151">
        <f t="shared" si="34"/>
        <v>174.75860719874802</v>
      </c>
      <c r="F111" s="230">
        <f>$F$106*K111</f>
        <v>30531.025621542809</v>
      </c>
      <c r="G111" s="221">
        <f t="shared" si="35"/>
        <v>1272.1260675642836</v>
      </c>
      <c r="H111" s="221">
        <f t="shared" si="36"/>
        <v>2866.7629691589491</v>
      </c>
      <c r="I111" s="222">
        <f t="shared" si="36"/>
        <v>119.44845704828954</v>
      </c>
      <c r="K111" s="93">
        <f>B111/$B$106</f>
        <v>0.25442521351285674</v>
      </c>
    </row>
    <row r="112" spans="1:11" ht="17.25" thickBot="1" x14ac:dyDescent="0.3">
      <c r="A112" s="223" t="s">
        <v>132</v>
      </c>
      <c r="B112" s="129">
        <f>SUM(B113:B117)</f>
        <v>145301.52840499993</v>
      </c>
      <c r="C112" s="130">
        <f t="shared" si="33"/>
        <v>6054.2303502083305</v>
      </c>
      <c r="D112" s="204">
        <f t="shared" si="34"/>
        <v>13643.336000469477</v>
      </c>
      <c r="E112" s="132">
        <f t="shared" si="34"/>
        <v>568.47233335289491</v>
      </c>
      <c r="F112" s="231">
        <f>SUM(F113:F117)</f>
        <v>21259.74128000778</v>
      </c>
      <c r="G112" s="232">
        <f t="shared" si="35"/>
        <v>885.82255333365754</v>
      </c>
      <c r="H112" s="232">
        <f t="shared" si="36"/>
        <v>1996.2198384983831</v>
      </c>
      <c r="I112" s="233">
        <f t="shared" si="36"/>
        <v>83.175826604099299</v>
      </c>
    </row>
    <row r="113" spans="1:11" x14ac:dyDescent="0.25">
      <c r="A113" s="208" t="s">
        <v>133</v>
      </c>
      <c r="B113" s="136">
        <v>25742.274179</v>
      </c>
      <c r="C113" s="137">
        <f t="shared" si="33"/>
        <v>1072.5947574583333</v>
      </c>
      <c r="D113" s="209">
        <f t="shared" si="34"/>
        <v>2417.1149463849765</v>
      </c>
      <c r="E113" s="139">
        <f t="shared" si="34"/>
        <v>100.71312276604068</v>
      </c>
      <c r="F113" s="230">
        <v>21259.74128000778</v>
      </c>
      <c r="G113" s="211">
        <f t="shared" si="35"/>
        <v>885.82255333365754</v>
      </c>
      <c r="H113" s="211">
        <f t="shared" si="36"/>
        <v>1996.2198384983831</v>
      </c>
      <c r="I113" s="212">
        <f t="shared" si="36"/>
        <v>83.175826604099299</v>
      </c>
      <c r="K113" s="93">
        <f>B113/$B$112</f>
        <v>0.1771645106667315</v>
      </c>
    </row>
    <row r="114" spans="1:11" x14ac:dyDescent="0.25">
      <c r="A114" s="213" t="s">
        <v>134</v>
      </c>
      <c r="B114" s="143">
        <v>119559.25422599992</v>
      </c>
      <c r="C114" s="144">
        <f t="shared" si="33"/>
        <v>4981.6355927499962</v>
      </c>
      <c r="D114" s="214">
        <f t="shared" si="34"/>
        <v>11226.221054084499</v>
      </c>
      <c r="E114" s="20">
        <f t="shared" si="34"/>
        <v>467.75921058685407</v>
      </c>
      <c r="F114" s="230"/>
      <c r="G114" s="216">
        <f t="shared" si="35"/>
        <v>0</v>
      </c>
      <c r="H114" s="216">
        <f t="shared" si="36"/>
        <v>0</v>
      </c>
      <c r="I114" s="217">
        <f t="shared" si="36"/>
        <v>0</v>
      </c>
      <c r="K114" s="93">
        <f>B114/$B$112</f>
        <v>0.82283548933326844</v>
      </c>
    </row>
    <row r="115" spans="1:11" x14ac:dyDescent="0.25">
      <c r="A115" s="213" t="s">
        <v>136</v>
      </c>
      <c r="B115" s="143"/>
      <c r="C115" s="144">
        <f t="shared" si="33"/>
        <v>0</v>
      </c>
      <c r="D115" s="214">
        <f t="shared" si="34"/>
        <v>0</v>
      </c>
      <c r="E115" s="20">
        <f t="shared" si="34"/>
        <v>0</v>
      </c>
      <c r="F115" s="230">
        <v>0</v>
      </c>
      <c r="G115" s="216">
        <f t="shared" si="35"/>
        <v>0</v>
      </c>
      <c r="H115" s="216">
        <f t="shared" si="36"/>
        <v>0</v>
      </c>
      <c r="I115" s="217">
        <f t="shared" si="36"/>
        <v>0</v>
      </c>
      <c r="K115" s="93">
        <f>B115/$B$112</f>
        <v>0</v>
      </c>
    </row>
    <row r="116" spans="1:11" x14ac:dyDescent="0.25">
      <c r="A116" s="213" t="s">
        <v>137</v>
      </c>
      <c r="B116" s="143"/>
      <c r="C116" s="144">
        <f t="shared" si="33"/>
        <v>0</v>
      </c>
      <c r="D116" s="214">
        <f t="shared" si="34"/>
        <v>0</v>
      </c>
      <c r="E116" s="20">
        <f t="shared" si="34"/>
        <v>0</v>
      </c>
      <c r="F116" s="230">
        <v>0</v>
      </c>
      <c r="G116" s="216">
        <f t="shared" si="35"/>
        <v>0</v>
      </c>
      <c r="H116" s="216">
        <f t="shared" si="36"/>
        <v>0</v>
      </c>
      <c r="I116" s="217">
        <f t="shared" si="36"/>
        <v>0</v>
      </c>
      <c r="K116" s="93">
        <f>B116/$B$112</f>
        <v>0</v>
      </c>
    </row>
    <row r="117" spans="1:11" ht="17.25" thickBot="1" x14ac:dyDescent="0.3">
      <c r="A117" s="225" t="s">
        <v>139</v>
      </c>
      <c r="B117" s="184"/>
      <c r="C117" s="185">
        <f t="shared" si="33"/>
        <v>0</v>
      </c>
      <c r="D117" s="226">
        <f t="shared" si="34"/>
        <v>0</v>
      </c>
      <c r="E117" s="21">
        <f t="shared" si="34"/>
        <v>0</v>
      </c>
      <c r="F117" s="230">
        <v>0</v>
      </c>
      <c r="G117" s="228">
        <f t="shared" si="35"/>
        <v>0</v>
      </c>
      <c r="H117" s="228">
        <f t="shared" si="36"/>
        <v>0</v>
      </c>
      <c r="I117" s="229">
        <f t="shared" si="36"/>
        <v>0</v>
      </c>
      <c r="K117" s="93">
        <f>B117/$B$112</f>
        <v>0</v>
      </c>
    </row>
    <row r="118" spans="1:11" ht="17.25" thickBot="1" x14ac:dyDescent="0.3">
      <c r="A118" s="202" t="s">
        <v>21</v>
      </c>
      <c r="B118" s="498"/>
      <c r="C118" s="499"/>
      <c r="D118" s="499"/>
      <c r="E118" s="499"/>
      <c r="F118" s="499"/>
      <c r="G118" s="499"/>
      <c r="H118" s="499"/>
      <c r="I118" s="500"/>
    </row>
    <row r="119" spans="1:11" ht="17.25" thickBot="1" x14ac:dyDescent="0.3">
      <c r="A119" s="203" t="s">
        <v>122</v>
      </c>
      <c r="B119" s="129">
        <f>SUM(B121:B124)</f>
        <v>116431.534686</v>
      </c>
      <c r="C119" s="130">
        <f t="shared" ref="C119:C130" si="37">B119/$N$1</f>
        <v>4851.31394525</v>
      </c>
      <c r="D119" s="204">
        <f t="shared" ref="D119:E130" si="38">B119/10.65</f>
        <v>10932.538468169014</v>
      </c>
      <c r="E119" s="132">
        <f t="shared" si="38"/>
        <v>455.52243617370891</v>
      </c>
      <c r="F119" s="238">
        <v>120000</v>
      </c>
      <c r="G119" s="206">
        <f t="shared" ref="G119:G130" si="39">F119/$N$1</f>
        <v>5000</v>
      </c>
      <c r="H119" s="206">
        <f t="shared" ref="H119:I130" si="40">F119/10.65</f>
        <v>11267.605633802816</v>
      </c>
      <c r="I119" s="207">
        <f t="shared" si="40"/>
        <v>469.48356807511738</v>
      </c>
    </row>
    <row r="120" spans="1:11" x14ac:dyDescent="0.25">
      <c r="A120" s="208" t="s">
        <v>123</v>
      </c>
      <c r="B120" s="136">
        <v>38560.103999999999</v>
      </c>
      <c r="C120" s="137">
        <f t="shared" si="37"/>
        <v>1606.671</v>
      </c>
      <c r="D120" s="209">
        <f t="shared" si="38"/>
        <v>3620.6670422535208</v>
      </c>
      <c r="E120" s="139">
        <f t="shared" si="38"/>
        <v>150.86112676056337</v>
      </c>
      <c r="F120" s="239">
        <f>$F$119*K120</f>
        <v>39741.917792967019</v>
      </c>
      <c r="G120" s="211">
        <f t="shared" si="39"/>
        <v>1655.9132413736259</v>
      </c>
      <c r="H120" s="211">
        <f t="shared" si="40"/>
        <v>3731.6354735180298</v>
      </c>
      <c r="I120" s="212">
        <f t="shared" si="40"/>
        <v>155.48481139658458</v>
      </c>
      <c r="K120" s="93">
        <f>B120/$B$119</f>
        <v>0.33118264827472516</v>
      </c>
    </row>
    <row r="121" spans="1:11" x14ac:dyDescent="0.25">
      <c r="A121" s="213" t="s">
        <v>124</v>
      </c>
      <c r="B121" s="143">
        <v>42657.368999999999</v>
      </c>
      <c r="C121" s="144">
        <f t="shared" si="37"/>
        <v>1777.3903749999999</v>
      </c>
      <c r="D121" s="214">
        <f t="shared" si="38"/>
        <v>4005.38676056338</v>
      </c>
      <c r="E121" s="20">
        <f t="shared" si="38"/>
        <v>166.89111502347416</v>
      </c>
      <c r="F121" s="239">
        <f>$F$119*K121</f>
        <v>43964.758291685619</v>
      </c>
      <c r="G121" s="216">
        <f t="shared" si="39"/>
        <v>1831.8649288202341</v>
      </c>
      <c r="H121" s="216">
        <f t="shared" si="40"/>
        <v>4128.1463184681334</v>
      </c>
      <c r="I121" s="217">
        <f t="shared" si="40"/>
        <v>172.00609660283888</v>
      </c>
      <c r="K121" s="93">
        <f>B121/$B$119</f>
        <v>0.36637298576404681</v>
      </c>
    </row>
    <row r="122" spans="1:11" x14ac:dyDescent="0.25">
      <c r="A122" s="213" t="s">
        <v>126</v>
      </c>
      <c r="B122" s="143"/>
      <c r="C122" s="144">
        <f t="shared" si="37"/>
        <v>0</v>
      </c>
      <c r="D122" s="214">
        <f t="shared" si="38"/>
        <v>0</v>
      </c>
      <c r="E122" s="20">
        <f t="shared" si="38"/>
        <v>0</v>
      </c>
      <c r="F122" s="239">
        <f>$F$119*K122</f>
        <v>0</v>
      </c>
      <c r="G122" s="216">
        <f t="shared" si="39"/>
        <v>0</v>
      </c>
      <c r="H122" s="216">
        <f t="shared" si="40"/>
        <v>0</v>
      </c>
      <c r="I122" s="217">
        <f t="shared" si="40"/>
        <v>0</v>
      </c>
      <c r="K122" s="93">
        <f>B122/$B$119</f>
        <v>0</v>
      </c>
    </row>
    <row r="123" spans="1:11" x14ac:dyDescent="0.25">
      <c r="A123" s="213" t="s">
        <v>128</v>
      </c>
      <c r="B123" s="143">
        <v>1016</v>
      </c>
      <c r="C123" s="144">
        <f t="shared" si="37"/>
        <v>42.333333333333336</v>
      </c>
      <c r="D123" s="214">
        <f t="shared" si="38"/>
        <v>95.399061032863841</v>
      </c>
      <c r="E123" s="20">
        <f t="shared" si="38"/>
        <v>3.9749608763693272</v>
      </c>
      <c r="F123" s="239">
        <f>$F$119*K123</f>
        <v>1047.1389931327594</v>
      </c>
      <c r="G123" s="216">
        <f t="shared" si="39"/>
        <v>43.63079138053164</v>
      </c>
      <c r="H123" s="216">
        <f t="shared" si="40"/>
        <v>98.322910153310744</v>
      </c>
      <c r="I123" s="217">
        <f t="shared" si="40"/>
        <v>4.096787923054614</v>
      </c>
      <c r="K123" s="93">
        <f>B123/$B$119</f>
        <v>8.7261582761063283E-3</v>
      </c>
    </row>
    <row r="124" spans="1:11" ht="17.25" thickBot="1" x14ac:dyDescent="0.3">
      <c r="A124" s="218" t="s">
        <v>129</v>
      </c>
      <c r="B124" s="148">
        <v>72758.165685999993</v>
      </c>
      <c r="C124" s="149">
        <f t="shared" si="37"/>
        <v>3031.5902369166665</v>
      </c>
      <c r="D124" s="219">
        <f t="shared" si="38"/>
        <v>6831.7526465727688</v>
      </c>
      <c r="E124" s="151">
        <f t="shared" si="38"/>
        <v>284.6563602738654</v>
      </c>
      <c r="F124" s="239">
        <f>$F$119*K124</f>
        <v>74988.102715181609</v>
      </c>
      <c r="G124" s="221">
        <f t="shared" si="39"/>
        <v>3124.5042797992337</v>
      </c>
      <c r="H124" s="221">
        <f t="shared" si="40"/>
        <v>7041.1364051813716</v>
      </c>
      <c r="I124" s="222">
        <f t="shared" si="40"/>
        <v>293.38068354922382</v>
      </c>
      <c r="K124" s="93">
        <f>B124/$B$119</f>
        <v>0.62490085595984679</v>
      </c>
    </row>
    <row r="125" spans="1:11" ht="17.25" thickBot="1" x14ac:dyDescent="0.3">
      <c r="A125" s="223" t="s">
        <v>132</v>
      </c>
      <c r="B125" s="129">
        <f>SUM(B126:B130)</f>
        <v>112452.2803839999</v>
      </c>
      <c r="C125" s="130">
        <f t="shared" si="37"/>
        <v>4685.5116826666626</v>
      </c>
      <c r="D125" s="204">
        <f t="shared" si="38"/>
        <v>10558.89956657276</v>
      </c>
      <c r="E125" s="132">
        <f t="shared" si="38"/>
        <v>439.95414860719836</v>
      </c>
      <c r="F125" s="240">
        <f>SUM(F126:F130)</f>
        <v>13515.319851675025</v>
      </c>
      <c r="G125" s="232">
        <f t="shared" si="39"/>
        <v>563.13832715312606</v>
      </c>
      <c r="H125" s="232">
        <f t="shared" si="40"/>
        <v>1269.0441175281715</v>
      </c>
      <c r="I125" s="233">
        <f t="shared" si="40"/>
        <v>52.876838230340475</v>
      </c>
    </row>
    <row r="126" spans="1:11" x14ac:dyDescent="0.25">
      <c r="A126" s="208" t="s">
        <v>133</v>
      </c>
      <c r="B126" s="136">
        <v>12665.237811999999</v>
      </c>
      <c r="C126" s="137">
        <f t="shared" si="37"/>
        <v>527.71824216666664</v>
      </c>
      <c r="D126" s="209">
        <f t="shared" si="38"/>
        <v>1189.2242076995303</v>
      </c>
      <c r="E126" s="139">
        <f t="shared" si="38"/>
        <v>49.551008654147104</v>
      </c>
      <c r="F126" s="241">
        <v>13515.319851675025</v>
      </c>
      <c r="G126" s="235">
        <f t="shared" si="39"/>
        <v>563.13832715312606</v>
      </c>
      <c r="H126" s="235">
        <f t="shared" si="40"/>
        <v>1269.0441175281715</v>
      </c>
      <c r="I126" s="236">
        <f t="shared" si="40"/>
        <v>52.876838230340475</v>
      </c>
      <c r="K126" s="93">
        <f>B126/$B$125</f>
        <v>0.11262766543062522</v>
      </c>
    </row>
    <row r="127" spans="1:11" x14ac:dyDescent="0.25">
      <c r="A127" s="213" t="s">
        <v>134</v>
      </c>
      <c r="B127" s="143">
        <v>99787.042571999889</v>
      </c>
      <c r="C127" s="144">
        <f t="shared" si="37"/>
        <v>4157.7934404999951</v>
      </c>
      <c r="D127" s="214">
        <f t="shared" si="38"/>
        <v>9369.6753588732281</v>
      </c>
      <c r="E127" s="20">
        <f t="shared" si="38"/>
        <v>390.40313995305115</v>
      </c>
      <c r="F127" s="239"/>
      <c r="G127" s="216">
        <f t="shared" si="39"/>
        <v>0</v>
      </c>
      <c r="H127" s="216">
        <f t="shared" si="40"/>
        <v>0</v>
      </c>
      <c r="I127" s="217">
        <f t="shared" si="40"/>
        <v>0</v>
      </c>
      <c r="K127" s="93">
        <f>B127/$B$125</f>
        <v>0.8873723345693747</v>
      </c>
    </row>
    <row r="128" spans="1:11" x14ac:dyDescent="0.25">
      <c r="A128" s="213" t="s">
        <v>136</v>
      </c>
      <c r="B128" s="143"/>
      <c r="C128" s="144">
        <f t="shared" si="37"/>
        <v>0</v>
      </c>
      <c r="D128" s="214">
        <f t="shared" si="38"/>
        <v>0</v>
      </c>
      <c r="E128" s="20">
        <f t="shared" si="38"/>
        <v>0</v>
      </c>
      <c r="F128" s="239">
        <v>0</v>
      </c>
      <c r="G128" s="216">
        <f t="shared" si="39"/>
        <v>0</v>
      </c>
      <c r="H128" s="216">
        <f t="shared" si="40"/>
        <v>0</v>
      </c>
      <c r="I128" s="217">
        <f t="shared" si="40"/>
        <v>0</v>
      </c>
      <c r="K128" s="93">
        <f>B128/$B$125</f>
        <v>0</v>
      </c>
    </row>
    <row r="129" spans="1:11" x14ac:dyDescent="0.25">
      <c r="A129" s="213" t="s">
        <v>137</v>
      </c>
      <c r="B129" s="143"/>
      <c r="C129" s="144">
        <f t="shared" si="37"/>
        <v>0</v>
      </c>
      <c r="D129" s="214">
        <f t="shared" si="38"/>
        <v>0</v>
      </c>
      <c r="E129" s="20">
        <f t="shared" si="38"/>
        <v>0</v>
      </c>
      <c r="F129" s="239">
        <v>0</v>
      </c>
      <c r="G129" s="216">
        <f t="shared" si="39"/>
        <v>0</v>
      </c>
      <c r="H129" s="216">
        <f t="shared" si="40"/>
        <v>0</v>
      </c>
      <c r="I129" s="217">
        <f t="shared" si="40"/>
        <v>0</v>
      </c>
      <c r="K129" s="93">
        <f>B129/$B$125</f>
        <v>0</v>
      </c>
    </row>
    <row r="130" spans="1:11" ht="17.25" thickBot="1" x14ac:dyDescent="0.3">
      <c r="A130" s="225" t="s">
        <v>139</v>
      </c>
      <c r="B130" s="184"/>
      <c r="C130" s="185">
        <f t="shared" si="37"/>
        <v>0</v>
      </c>
      <c r="D130" s="226">
        <f t="shared" si="38"/>
        <v>0</v>
      </c>
      <c r="E130" s="21">
        <f t="shared" si="38"/>
        <v>0</v>
      </c>
      <c r="F130" s="242">
        <v>0</v>
      </c>
      <c r="G130" s="228">
        <f t="shared" si="39"/>
        <v>0</v>
      </c>
      <c r="H130" s="228">
        <f t="shared" si="40"/>
        <v>0</v>
      </c>
      <c r="I130" s="229">
        <f t="shared" si="40"/>
        <v>0</v>
      </c>
      <c r="K130" s="93">
        <f>B130/$B$125</f>
        <v>0</v>
      </c>
    </row>
    <row r="131" spans="1:11" ht="17.25" thickBot="1" x14ac:dyDescent="0.3">
      <c r="A131" s="202" t="s">
        <v>22</v>
      </c>
      <c r="B131" s="498"/>
      <c r="C131" s="499"/>
      <c r="D131" s="499"/>
      <c r="E131" s="499"/>
      <c r="F131" s="499"/>
      <c r="G131" s="499"/>
      <c r="H131" s="499"/>
      <c r="I131" s="500"/>
    </row>
    <row r="132" spans="1:11" ht="17.25" thickBot="1" x14ac:dyDescent="0.3">
      <c r="A132" s="203" t="s">
        <v>122</v>
      </c>
      <c r="B132" s="129">
        <f>SUM(B133:B137)</f>
        <v>71317.625985999999</v>
      </c>
      <c r="C132" s="130">
        <f t="shared" ref="C132:C143" si="41">B132/$N$1</f>
        <v>2971.5677494166666</v>
      </c>
      <c r="D132" s="204">
        <f t="shared" ref="D132:E143" si="42">B132/10.65</f>
        <v>6696.4907029107981</v>
      </c>
      <c r="E132" s="132">
        <f t="shared" si="42"/>
        <v>279.02044595461655</v>
      </c>
      <c r="F132" s="238">
        <v>80000</v>
      </c>
      <c r="G132" s="206">
        <f t="shared" ref="G132:G143" si="43">F132/$N$1</f>
        <v>3333.3333333333335</v>
      </c>
      <c r="H132" s="206">
        <f t="shared" ref="H132:I143" si="44">F132/10.65</f>
        <v>7511.737089201878</v>
      </c>
      <c r="I132" s="207">
        <f t="shared" si="44"/>
        <v>312.98904538341156</v>
      </c>
    </row>
    <row r="133" spans="1:11" x14ac:dyDescent="0.25">
      <c r="A133" s="208" t="s">
        <v>123</v>
      </c>
      <c r="B133" s="136">
        <v>9552.6958200000008</v>
      </c>
      <c r="C133" s="137">
        <f t="shared" si="41"/>
        <v>398.02899250000002</v>
      </c>
      <c r="D133" s="209">
        <f t="shared" si="42"/>
        <v>896.96674366197192</v>
      </c>
      <c r="E133" s="139">
        <f t="shared" si="42"/>
        <v>37.37361431924883</v>
      </c>
      <c r="F133" s="239">
        <f>$F$132*K133</f>
        <v>10715.663274462044</v>
      </c>
      <c r="G133" s="211">
        <f t="shared" si="43"/>
        <v>446.48596976925182</v>
      </c>
      <c r="H133" s="211">
        <f t="shared" si="44"/>
        <v>1006.1655656771871</v>
      </c>
      <c r="I133" s="212">
        <f t="shared" si="44"/>
        <v>41.923565236549464</v>
      </c>
      <c r="K133" s="93">
        <f>B133/$B$132</f>
        <v>0.13394579093077555</v>
      </c>
    </row>
    <row r="134" spans="1:11" x14ac:dyDescent="0.25">
      <c r="A134" s="213" t="s">
        <v>124</v>
      </c>
      <c r="B134" s="143">
        <v>8892.3919999999998</v>
      </c>
      <c r="C134" s="144">
        <f t="shared" si="41"/>
        <v>370.51633333333331</v>
      </c>
      <c r="D134" s="214">
        <f t="shared" si="42"/>
        <v>834.96638497652577</v>
      </c>
      <c r="E134" s="20">
        <f t="shared" si="42"/>
        <v>34.790266040688572</v>
      </c>
      <c r="F134" s="239">
        <f>$F$132*K134</f>
        <v>9974.9725283851931</v>
      </c>
      <c r="G134" s="216">
        <f t="shared" si="43"/>
        <v>415.62385534938306</v>
      </c>
      <c r="H134" s="216">
        <f t="shared" si="44"/>
        <v>936.61713881551111</v>
      </c>
      <c r="I134" s="217">
        <f t="shared" si="44"/>
        <v>39.025714117312965</v>
      </c>
      <c r="K134" s="93">
        <f>B134/$B$132</f>
        <v>0.12468715660481491</v>
      </c>
    </row>
    <row r="135" spans="1:11" x14ac:dyDescent="0.25">
      <c r="A135" s="213" t="s">
        <v>126</v>
      </c>
      <c r="B135" s="143"/>
      <c r="C135" s="144">
        <f t="shared" si="41"/>
        <v>0</v>
      </c>
      <c r="D135" s="214">
        <f t="shared" si="42"/>
        <v>0</v>
      </c>
      <c r="E135" s="20">
        <f t="shared" si="42"/>
        <v>0</v>
      </c>
      <c r="F135" s="239">
        <f>$F$132*K135</f>
        <v>0</v>
      </c>
      <c r="G135" s="216">
        <f t="shared" si="43"/>
        <v>0</v>
      </c>
      <c r="H135" s="216">
        <f t="shared" si="44"/>
        <v>0</v>
      </c>
      <c r="I135" s="217">
        <f t="shared" si="44"/>
        <v>0</v>
      </c>
      <c r="K135" s="93">
        <f>B135/$B$132</f>
        <v>0</v>
      </c>
    </row>
    <row r="136" spans="1:11" x14ac:dyDescent="0.25">
      <c r="A136" s="213" t="s">
        <v>128</v>
      </c>
      <c r="B136" s="143">
        <v>1</v>
      </c>
      <c r="C136" s="144">
        <f t="shared" si="41"/>
        <v>4.1666666666666664E-2</v>
      </c>
      <c r="D136" s="214">
        <f t="shared" si="42"/>
        <v>9.3896713615023469E-2</v>
      </c>
      <c r="E136" s="20">
        <f t="shared" si="42"/>
        <v>3.912363067292644E-3</v>
      </c>
      <c r="F136" s="239">
        <f>$F$132*K136</f>
        <v>1.1217423307907697</v>
      </c>
      <c r="G136" s="216">
        <f t="shared" si="43"/>
        <v>4.6739263782948737E-2</v>
      </c>
      <c r="H136" s="216">
        <f t="shared" si="44"/>
        <v>0.10532791838410982</v>
      </c>
      <c r="I136" s="217">
        <f t="shared" si="44"/>
        <v>4.3886632660045761E-3</v>
      </c>
      <c r="K136" s="93">
        <f>B136/$B$132</f>
        <v>1.4021779134884621E-5</v>
      </c>
    </row>
    <row r="137" spans="1:11" ht="17.25" thickBot="1" x14ac:dyDescent="0.3">
      <c r="A137" s="218" t="s">
        <v>129</v>
      </c>
      <c r="B137" s="148">
        <v>52871.538165999998</v>
      </c>
      <c r="C137" s="149">
        <f t="shared" si="41"/>
        <v>2202.9807569166665</v>
      </c>
      <c r="D137" s="219">
        <f t="shared" si="42"/>
        <v>4964.463677558685</v>
      </c>
      <c r="E137" s="151">
        <f t="shared" si="42"/>
        <v>206.85265323161187</v>
      </c>
      <c r="F137" s="239">
        <f>$F$132*K137</f>
        <v>59308.242454821979</v>
      </c>
      <c r="G137" s="221">
        <f t="shared" si="43"/>
        <v>2471.1767689509156</v>
      </c>
      <c r="H137" s="221">
        <f t="shared" si="44"/>
        <v>5568.8490567907957</v>
      </c>
      <c r="I137" s="222">
        <f t="shared" si="44"/>
        <v>232.03537736628314</v>
      </c>
      <c r="K137" s="93">
        <f>B137/$B$132</f>
        <v>0.74135303068527469</v>
      </c>
    </row>
    <row r="138" spans="1:11" ht="17.25" thickBot="1" x14ac:dyDescent="0.3">
      <c r="A138" s="223" t="s">
        <v>132</v>
      </c>
      <c r="B138" s="129">
        <f>SUM(B139:B143)</f>
        <v>73527.868286000143</v>
      </c>
      <c r="C138" s="130">
        <f t="shared" si="41"/>
        <v>3063.6611785833393</v>
      </c>
      <c r="D138" s="204">
        <f t="shared" si="42"/>
        <v>6904.0251911737223</v>
      </c>
      <c r="E138" s="132">
        <f t="shared" si="42"/>
        <v>287.66771629890508</v>
      </c>
      <c r="F138" s="240">
        <f>SUM(F139:F143)</f>
        <v>556.53755445255376</v>
      </c>
      <c r="G138" s="232">
        <f t="shared" si="43"/>
        <v>23.189064768856408</v>
      </c>
      <c r="H138" s="232">
        <f t="shared" si="44"/>
        <v>52.257047366436971</v>
      </c>
      <c r="I138" s="233">
        <f t="shared" si="44"/>
        <v>2.1773769736015405</v>
      </c>
    </row>
    <row r="139" spans="1:11" x14ac:dyDescent="0.25">
      <c r="A139" s="208" t="s">
        <v>133</v>
      </c>
      <c r="B139" s="136">
        <v>454.67800000000005</v>
      </c>
      <c r="C139" s="137">
        <f t="shared" si="41"/>
        <v>18.944916666666668</v>
      </c>
      <c r="D139" s="209">
        <f t="shared" si="42"/>
        <v>42.692769953051645</v>
      </c>
      <c r="E139" s="139">
        <f t="shared" si="42"/>
        <v>1.7788654147104852</v>
      </c>
      <c r="F139" s="239">
        <v>556.53755445255376</v>
      </c>
      <c r="G139" s="211">
        <f t="shared" si="43"/>
        <v>23.189064768856408</v>
      </c>
      <c r="H139" s="211">
        <f t="shared" si="44"/>
        <v>52.257047366436971</v>
      </c>
      <c r="I139" s="212">
        <f t="shared" si="44"/>
        <v>2.1773769736015405</v>
      </c>
      <c r="K139" s="93">
        <f>B139/$B$138</f>
        <v>6.1837506050283755E-3</v>
      </c>
    </row>
    <row r="140" spans="1:11" x14ac:dyDescent="0.25">
      <c r="A140" s="213" t="s">
        <v>134</v>
      </c>
      <c r="B140" s="143">
        <v>73073.190286000143</v>
      </c>
      <c r="C140" s="144">
        <f t="shared" si="41"/>
        <v>3044.7162619166725</v>
      </c>
      <c r="D140" s="214">
        <f t="shared" si="42"/>
        <v>6861.3324212206708</v>
      </c>
      <c r="E140" s="20">
        <f t="shared" si="42"/>
        <v>285.8888508841946</v>
      </c>
      <c r="F140" s="239"/>
      <c r="G140" s="216">
        <f t="shared" si="43"/>
        <v>0</v>
      </c>
      <c r="H140" s="216">
        <f t="shared" si="44"/>
        <v>0</v>
      </c>
      <c r="I140" s="217">
        <f t="shared" si="44"/>
        <v>0</v>
      </c>
      <c r="K140" s="93">
        <f>B140/$B$138</f>
        <v>0.9938162493949716</v>
      </c>
    </row>
    <row r="141" spans="1:11" x14ac:dyDescent="0.25">
      <c r="A141" s="213" t="s">
        <v>136</v>
      </c>
      <c r="B141" s="143"/>
      <c r="C141" s="144">
        <f t="shared" si="41"/>
        <v>0</v>
      </c>
      <c r="D141" s="214">
        <f t="shared" si="42"/>
        <v>0</v>
      </c>
      <c r="E141" s="20">
        <f t="shared" si="42"/>
        <v>0</v>
      </c>
      <c r="F141" s="239">
        <v>0</v>
      </c>
      <c r="G141" s="216">
        <f t="shared" si="43"/>
        <v>0</v>
      </c>
      <c r="H141" s="216">
        <f t="shared" si="44"/>
        <v>0</v>
      </c>
      <c r="I141" s="217">
        <f t="shared" si="44"/>
        <v>0</v>
      </c>
      <c r="K141" s="93">
        <f>B141/$B$138</f>
        <v>0</v>
      </c>
    </row>
    <row r="142" spans="1:11" x14ac:dyDescent="0.25">
      <c r="A142" s="213" t="s">
        <v>137</v>
      </c>
      <c r="B142" s="143"/>
      <c r="C142" s="144">
        <f t="shared" si="41"/>
        <v>0</v>
      </c>
      <c r="D142" s="214">
        <f t="shared" si="42"/>
        <v>0</v>
      </c>
      <c r="E142" s="20">
        <f t="shared" si="42"/>
        <v>0</v>
      </c>
      <c r="F142" s="239">
        <v>0</v>
      </c>
      <c r="G142" s="216">
        <f t="shared" si="43"/>
        <v>0</v>
      </c>
      <c r="H142" s="216">
        <f t="shared" si="44"/>
        <v>0</v>
      </c>
      <c r="I142" s="217">
        <f t="shared" si="44"/>
        <v>0</v>
      </c>
      <c r="K142" s="93">
        <f>B142/$B$138</f>
        <v>0</v>
      </c>
    </row>
    <row r="143" spans="1:11" ht="17.25" thickBot="1" x14ac:dyDescent="0.3">
      <c r="A143" s="225" t="s">
        <v>139</v>
      </c>
      <c r="B143" s="184"/>
      <c r="C143" s="185">
        <f t="shared" si="41"/>
        <v>0</v>
      </c>
      <c r="D143" s="226">
        <f t="shared" si="42"/>
        <v>0</v>
      </c>
      <c r="E143" s="21">
        <f t="shared" si="42"/>
        <v>0</v>
      </c>
      <c r="F143" s="239">
        <v>0</v>
      </c>
      <c r="G143" s="228">
        <f t="shared" si="43"/>
        <v>0</v>
      </c>
      <c r="H143" s="228">
        <f t="shared" si="44"/>
        <v>0</v>
      </c>
      <c r="I143" s="229">
        <f t="shared" si="44"/>
        <v>0</v>
      </c>
      <c r="K143" s="93">
        <f>B143/$B$138</f>
        <v>0</v>
      </c>
    </row>
    <row r="144" spans="1:11" ht="15" customHeight="1" thickBot="1" x14ac:dyDescent="0.3">
      <c r="A144" s="202" t="s">
        <v>23</v>
      </c>
      <c r="B144" s="501"/>
      <c r="C144" s="502"/>
      <c r="D144" s="502"/>
      <c r="E144" s="502"/>
      <c r="F144" s="502"/>
      <c r="G144" s="502"/>
      <c r="H144" s="502"/>
      <c r="I144" s="503"/>
    </row>
    <row r="145" spans="1:9" ht="17.25" thickBot="1" x14ac:dyDescent="0.3">
      <c r="A145" s="203" t="s">
        <v>122</v>
      </c>
      <c r="B145" s="238">
        <v>1000</v>
      </c>
      <c r="C145" s="243">
        <f t="shared" ref="C145:C156" si="45">B145/$N$1</f>
        <v>41.666666666666664</v>
      </c>
      <c r="D145" s="244">
        <f t="shared" ref="D145:E156" si="46">B145/10.65</f>
        <v>93.896713615023472</v>
      </c>
      <c r="E145" s="207">
        <f t="shared" si="46"/>
        <v>3.9123630672926444</v>
      </c>
      <c r="F145" s="238">
        <v>1000</v>
      </c>
      <c r="G145" s="206">
        <f t="shared" ref="G145:G156" si="47">F145/$N$1</f>
        <v>41.666666666666664</v>
      </c>
      <c r="H145" s="206">
        <f t="shared" ref="H145:I156" si="48">F145/10.65</f>
        <v>93.896713615023472</v>
      </c>
      <c r="I145" s="207">
        <f t="shared" si="48"/>
        <v>3.9123630672926444</v>
      </c>
    </row>
    <row r="146" spans="1:9" x14ac:dyDescent="0.25">
      <c r="A146" s="208" t="s">
        <v>123</v>
      </c>
      <c r="B146" s="245"/>
      <c r="C146" s="246">
        <f t="shared" si="45"/>
        <v>0</v>
      </c>
      <c r="D146" s="247">
        <f t="shared" si="46"/>
        <v>0</v>
      </c>
      <c r="E146" s="212">
        <f t="shared" si="46"/>
        <v>0</v>
      </c>
      <c r="F146" s="239"/>
      <c r="G146" s="211">
        <f t="shared" si="47"/>
        <v>0</v>
      </c>
      <c r="H146" s="211">
        <f t="shared" si="48"/>
        <v>0</v>
      </c>
      <c r="I146" s="212">
        <f t="shared" si="48"/>
        <v>0</v>
      </c>
    </row>
    <row r="147" spans="1:9" x14ac:dyDescent="0.25">
      <c r="A147" s="213" t="s">
        <v>124</v>
      </c>
      <c r="B147" s="248"/>
      <c r="C147" s="249">
        <f t="shared" si="45"/>
        <v>0</v>
      </c>
      <c r="D147" s="250">
        <f t="shared" si="46"/>
        <v>0</v>
      </c>
      <c r="E147" s="217">
        <f t="shared" si="46"/>
        <v>0</v>
      </c>
      <c r="F147" s="251"/>
      <c r="G147" s="216">
        <f t="shared" si="47"/>
        <v>0</v>
      </c>
      <c r="H147" s="216">
        <f t="shared" si="48"/>
        <v>0</v>
      </c>
      <c r="I147" s="217">
        <f t="shared" si="48"/>
        <v>0</v>
      </c>
    </row>
    <row r="148" spans="1:9" x14ac:dyDescent="0.25">
      <c r="A148" s="213" t="s">
        <v>126</v>
      </c>
      <c r="B148" s="248"/>
      <c r="C148" s="249">
        <f t="shared" si="45"/>
        <v>0</v>
      </c>
      <c r="D148" s="250">
        <f t="shared" si="46"/>
        <v>0</v>
      </c>
      <c r="E148" s="217">
        <f t="shared" si="46"/>
        <v>0</v>
      </c>
      <c r="F148" s="251"/>
      <c r="G148" s="216">
        <f t="shared" si="47"/>
        <v>0</v>
      </c>
      <c r="H148" s="216">
        <f t="shared" si="48"/>
        <v>0</v>
      </c>
      <c r="I148" s="217">
        <f t="shared" si="48"/>
        <v>0</v>
      </c>
    </row>
    <row r="149" spans="1:9" x14ac:dyDescent="0.25">
      <c r="A149" s="213" t="s">
        <v>128</v>
      </c>
      <c r="B149" s="248"/>
      <c r="C149" s="249">
        <f t="shared" si="45"/>
        <v>0</v>
      </c>
      <c r="D149" s="250">
        <f t="shared" si="46"/>
        <v>0</v>
      </c>
      <c r="E149" s="217">
        <f t="shared" si="46"/>
        <v>0</v>
      </c>
      <c r="F149" s="251"/>
      <c r="G149" s="216">
        <f t="shared" si="47"/>
        <v>0</v>
      </c>
      <c r="H149" s="216">
        <f t="shared" si="48"/>
        <v>0</v>
      </c>
      <c r="I149" s="217">
        <f t="shared" si="48"/>
        <v>0</v>
      </c>
    </row>
    <row r="150" spans="1:9" ht="17.25" thickBot="1" x14ac:dyDescent="0.3">
      <c r="A150" s="218" t="s">
        <v>129</v>
      </c>
      <c r="B150" s="252">
        <v>1000</v>
      </c>
      <c r="C150" s="253">
        <f t="shared" si="45"/>
        <v>41.666666666666664</v>
      </c>
      <c r="D150" s="254">
        <f t="shared" si="46"/>
        <v>93.896713615023472</v>
      </c>
      <c r="E150" s="222">
        <f t="shared" si="46"/>
        <v>3.9123630672926444</v>
      </c>
      <c r="F150" s="255">
        <v>1000</v>
      </c>
      <c r="G150" s="221">
        <f t="shared" si="47"/>
        <v>41.666666666666664</v>
      </c>
      <c r="H150" s="221">
        <f t="shared" si="48"/>
        <v>93.896713615023472</v>
      </c>
      <c r="I150" s="222">
        <f t="shared" si="48"/>
        <v>3.9123630672926444</v>
      </c>
    </row>
    <row r="151" spans="1:9" ht="17.25" thickBot="1" x14ac:dyDescent="0.3">
      <c r="A151" s="223" t="s">
        <v>132</v>
      </c>
      <c r="B151" s="240">
        <v>1000</v>
      </c>
      <c r="C151" s="256">
        <f t="shared" si="45"/>
        <v>41.666666666666664</v>
      </c>
      <c r="D151" s="257">
        <f t="shared" si="46"/>
        <v>93.896713615023472</v>
      </c>
      <c r="E151" s="233">
        <f t="shared" si="46"/>
        <v>3.9123630672926444</v>
      </c>
      <c r="F151" s="240">
        <v>0</v>
      </c>
      <c r="G151" s="232">
        <f t="shared" si="47"/>
        <v>0</v>
      </c>
      <c r="H151" s="232">
        <f t="shared" si="48"/>
        <v>0</v>
      </c>
      <c r="I151" s="233">
        <f t="shared" si="48"/>
        <v>0</v>
      </c>
    </row>
    <row r="152" spans="1:9" x14ac:dyDescent="0.25">
      <c r="A152" s="208" t="s">
        <v>133</v>
      </c>
      <c r="B152" s="245"/>
      <c r="C152" s="246">
        <f t="shared" si="45"/>
        <v>0</v>
      </c>
      <c r="D152" s="247">
        <f t="shared" si="46"/>
        <v>0</v>
      </c>
      <c r="E152" s="212">
        <f t="shared" si="46"/>
        <v>0</v>
      </c>
      <c r="F152" s="239"/>
      <c r="G152" s="211">
        <f t="shared" si="47"/>
        <v>0</v>
      </c>
      <c r="H152" s="211">
        <f t="shared" si="48"/>
        <v>0</v>
      </c>
      <c r="I152" s="212">
        <f t="shared" si="48"/>
        <v>0</v>
      </c>
    </row>
    <row r="153" spans="1:9" x14ac:dyDescent="0.25">
      <c r="A153" s="213" t="s">
        <v>134</v>
      </c>
      <c r="B153" s="248">
        <v>1000</v>
      </c>
      <c r="C153" s="249">
        <f t="shared" si="45"/>
        <v>41.666666666666664</v>
      </c>
      <c r="D153" s="250">
        <f t="shared" si="46"/>
        <v>93.896713615023472</v>
      </c>
      <c r="E153" s="217">
        <f t="shared" si="46"/>
        <v>3.9123630672926444</v>
      </c>
      <c r="F153" s="251">
        <v>0</v>
      </c>
      <c r="G153" s="216">
        <f t="shared" si="47"/>
        <v>0</v>
      </c>
      <c r="H153" s="216">
        <f t="shared" si="48"/>
        <v>0</v>
      </c>
      <c r="I153" s="217">
        <f t="shared" si="48"/>
        <v>0</v>
      </c>
    </row>
    <row r="154" spans="1:9" x14ac:dyDescent="0.25">
      <c r="A154" s="213" t="s">
        <v>136</v>
      </c>
      <c r="B154" s="248"/>
      <c r="C154" s="249">
        <f t="shared" si="45"/>
        <v>0</v>
      </c>
      <c r="D154" s="250">
        <f t="shared" si="46"/>
        <v>0</v>
      </c>
      <c r="E154" s="217">
        <f t="shared" si="46"/>
        <v>0</v>
      </c>
      <c r="F154" s="251"/>
      <c r="G154" s="216">
        <f t="shared" si="47"/>
        <v>0</v>
      </c>
      <c r="H154" s="216">
        <f t="shared" si="48"/>
        <v>0</v>
      </c>
      <c r="I154" s="217">
        <f t="shared" si="48"/>
        <v>0</v>
      </c>
    </row>
    <row r="155" spans="1:9" x14ac:dyDescent="0.25">
      <c r="A155" s="213" t="s">
        <v>137</v>
      </c>
      <c r="B155" s="248"/>
      <c r="C155" s="249">
        <f t="shared" si="45"/>
        <v>0</v>
      </c>
      <c r="D155" s="250">
        <f t="shared" si="46"/>
        <v>0</v>
      </c>
      <c r="E155" s="217">
        <f t="shared" si="46"/>
        <v>0</v>
      </c>
      <c r="F155" s="251"/>
      <c r="G155" s="216">
        <f t="shared" si="47"/>
        <v>0</v>
      </c>
      <c r="H155" s="216">
        <f t="shared" si="48"/>
        <v>0</v>
      </c>
      <c r="I155" s="217">
        <f t="shared" si="48"/>
        <v>0</v>
      </c>
    </row>
    <row r="156" spans="1:9" ht="17.25" thickBot="1" x14ac:dyDescent="0.3">
      <c r="A156" s="225" t="s">
        <v>139</v>
      </c>
      <c r="B156" s="258"/>
      <c r="C156" s="259">
        <f t="shared" si="45"/>
        <v>0</v>
      </c>
      <c r="D156" s="260">
        <f t="shared" si="46"/>
        <v>0</v>
      </c>
      <c r="E156" s="229">
        <f t="shared" si="46"/>
        <v>0</v>
      </c>
      <c r="F156" s="261"/>
      <c r="G156" s="228">
        <f t="shared" si="47"/>
        <v>0</v>
      </c>
      <c r="H156" s="228">
        <f t="shared" si="48"/>
        <v>0</v>
      </c>
      <c r="I156" s="229">
        <f t="shared" si="48"/>
        <v>0</v>
      </c>
    </row>
    <row r="157" spans="1:9" ht="17.25" thickBot="1" x14ac:dyDescent="0.3">
      <c r="A157" s="202" t="s">
        <v>24</v>
      </c>
      <c r="B157" s="504"/>
      <c r="C157" s="505"/>
      <c r="D157" s="505"/>
      <c r="E157" s="505"/>
      <c r="F157" s="505"/>
      <c r="G157" s="505"/>
      <c r="H157" s="505"/>
      <c r="I157" s="506"/>
    </row>
    <row r="158" spans="1:9" ht="17.25" thickBot="1" x14ac:dyDescent="0.3">
      <c r="A158" s="203" t="s">
        <v>122</v>
      </c>
      <c r="B158" s="238">
        <v>1000</v>
      </c>
      <c r="C158" s="243">
        <f t="shared" ref="C158:C169" si="49">B158/$N$1</f>
        <v>41.666666666666664</v>
      </c>
      <c r="D158" s="244">
        <f t="shared" ref="D158:E169" si="50">B158/10.65</f>
        <v>93.896713615023472</v>
      </c>
      <c r="E158" s="207">
        <f t="shared" si="50"/>
        <v>3.9123630672926444</v>
      </c>
      <c r="F158" s="238">
        <v>1000</v>
      </c>
      <c r="G158" s="206">
        <f t="shared" ref="G158:G169" si="51">F158/$N$1</f>
        <v>41.666666666666664</v>
      </c>
      <c r="H158" s="206">
        <f t="shared" ref="H158:I169" si="52">F158/10.65</f>
        <v>93.896713615023472</v>
      </c>
      <c r="I158" s="207">
        <f t="shared" si="52"/>
        <v>3.9123630672926444</v>
      </c>
    </row>
    <row r="159" spans="1:9" x14ac:dyDescent="0.25">
      <c r="A159" s="213" t="s">
        <v>124</v>
      </c>
      <c r="B159" s="248"/>
      <c r="C159" s="249">
        <f t="shared" si="49"/>
        <v>0</v>
      </c>
      <c r="D159" s="250">
        <f t="shared" si="50"/>
        <v>0</v>
      </c>
      <c r="E159" s="217">
        <f t="shared" si="50"/>
        <v>0</v>
      </c>
      <c r="F159" s="251"/>
      <c r="G159" s="216">
        <f t="shared" si="51"/>
        <v>0</v>
      </c>
      <c r="H159" s="216">
        <f t="shared" si="52"/>
        <v>0</v>
      </c>
      <c r="I159" s="217">
        <f t="shared" si="52"/>
        <v>0</v>
      </c>
    </row>
    <row r="160" spans="1:9" x14ac:dyDescent="0.25">
      <c r="A160" s="213" t="s">
        <v>126</v>
      </c>
      <c r="B160" s="248"/>
      <c r="C160" s="249">
        <f t="shared" si="49"/>
        <v>0</v>
      </c>
      <c r="D160" s="250">
        <f t="shared" si="50"/>
        <v>0</v>
      </c>
      <c r="E160" s="217">
        <f t="shared" si="50"/>
        <v>0</v>
      </c>
      <c r="F160" s="251"/>
      <c r="G160" s="216">
        <f t="shared" si="51"/>
        <v>0</v>
      </c>
      <c r="H160" s="216">
        <f t="shared" si="52"/>
        <v>0</v>
      </c>
      <c r="I160" s="217">
        <f t="shared" si="52"/>
        <v>0</v>
      </c>
    </row>
    <row r="161" spans="1:9" x14ac:dyDescent="0.25">
      <c r="A161" s="213" t="s">
        <v>128</v>
      </c>
      <c r="B161" s="248"/>
      <c r="C161" s="249">
        <f t="shared" si="49"/>
        <v>0</v>
      </c>
      <c r="D161" s="250">
        <f t="shared" si="50"/>
        <v>0</v>
      </c>
      <c r="E161" s="217">
        <f t="shared" si="50"/>
        <v>0</v>
      </c>
      <c r="F161" s="251"/>
      <c r="G161" s="216">
        <f t="shared" si="51"/>
        <v>0</v>
      </c>
      <c r="H161" s="216">
        <f t="shared" si="52"/>
        <v>0</v>
      </c>
      <c r="I161" s="217">
        <f t="shared" si="52"/>
        <v>0</v>
      </c>
    </row>
    <row r="162" spans="1:9" ht="17.25" thickBot="1" x14ac:dyDescent="0.3">
      <c r="A162" s="218" t="s">
        <v>129</v>
      </c>
      <c r="B162" s="252">
        <v>1000</v>
      </c>
      <c r="C162" s="253">
        <f t="shared" si="49"/>
        <v>41.666666666666664</v>
      </c>
      <c r="D162" s="254">
        <f t="shared" si="50"/>
        <v>93.896713615023472</v>
      </c>
      <c r="E162" s="222">
        <f t="shared" si="50"/>
        <v>3.9123630672926444</v>
      </c>
      <c r="F162" s="255">
        <v>1000</v>
      </c>
      <c r="G162" s="221">
        <f t="shared" si="51"/>
        <v>41.666666666666664</v>
      </c>
      <c r="H162" s="221">
        <f t="shared" si="52"/>
        <v>93.896713615023472</v>
      </c>
      <c r="I162" s="222">
        <f t="shared" si="52"/>
        <v>3.9123630672926444</v>
      </c>
    </row>
    <row r="163" spans="1:9" ht="17.25" thickBot="1" x14ac:dyDescent="0.3">
      <c r="A163" s="223" t="s">
        <v>132</v>
      </c>
      <c r="B163" s="240">
        <v>1000</v>
      </c>
      <c r="C163" s="256">
        <f t="shared" si="49"/>
        <v>41.666666666666664</v>
      </c>
      <c r="D163" s="257">
        <f t="shared" si="50"/>
        <v>93.896713615023472</v>
      </c>
      <c r="E163" s="233">
        <f t="shared" si="50"/>
        <v>3.9123630672926444</v>
      </c>
      <c r="F163" s="240">
        <v>0</v>
      </c>
      <c r="G163" s="232">
        <f t="shared" si="51"/>
        <v>0</v>
      </c>
      <c r="H163" s="232">
        <f t="shared" si="52"/>
        <v>0</v>
      </c>
      <c r="I163" s="233">
        <f t="shared" si="52"/>
        <v>0</v>
      </c>
    </row>
    <row r="164" spans="1:9" x14ac:dyDescent="0.25">
      <c r="A164" s="208" t="s">
        <v>133</v>
      </c>
      <c r="B164" s="245"/>
      <c r="C164" s="246">
        <f t="shared" si="49"/>
        <v>0</v>
      </c>
      <c r="D164" s="247">
        <f t="shared" si="50"/>
        <v>0</v>
      </c>
      <c r="E164" s="212">
        <f t="shared" si="50"/>
        <v>0</v>
      </c>
      <c r="F164" s="239"/>
      <c r="G164" s="211">
        <f t="shared" si="51"/>
        <v>0</v>
      </c>
      <c r="H164" s="211">
        <f t="shared" si="52"/>
        <v>0</v>
      </c>
      <c r="I164" s="212">
        <f t="shared" si="52"/>
        <v>0</v>
      </c>
    </row>
    <row r="165" spans="1:9" x14ac:dyDescent="0.25">
      <c r="A165" s="213" t="s">
        <v>134</v>
      </c>
      <c r="B165" s="248">
        <v>0</v>
      </c>
      <c r="C165" s="249">
        <f t="shared" si="49"/>
        <v>0</v>
      </c>
      <c r="D165" s="250">
        <f t="shared" si="50"/>
        <v>0</v>
      </c>
      <c r="E165" s="217">
        <f t="shared" si="50"/>
        <v>0</v>
      </c>
      <c r="F165" s="251">
        <v>0</v>
      </c>
      <c r="G165" s="216">
        <f t="shared" si="51"/>
        <v>0</v>
      </c>
      <c r="H165" s="216">
        <f t="shared" si="52"/>
        <v>0</v>
      </c>
      <c r="I165" s="217">
        <f t="shared" si="52"/>
        <v>0</v>
      </c>
    </row>
    <row r="166" spans="1:9" x14ac:dyDescent="0.25">
      <c r="A166" s="213" t="s">
        <v>135</v>
      </c>
      <c r="B166" s="248">
        <v>1000</v>
      </c>
      <c r="C166" s="249">
        <f t="shared" si="49"/>
        <v>41.666666666666664</v>
      </c>
      <c r="D166" s="250">
        <f t="shared" si="50"/>
        <v>93.896713615023472</v>
      </c>
      <c r="E166" s="217">
        <f t="shared" si="50"/>
        <v>3.9123630672926444</v>
      </c>
      <c r="F166" s="251"/>
      <c r="G166" s="216">
        <f t="shared" si="51"/>
        <v>0</v>
      </c>
      <c r="H166" s="216">
        <f t="shared" si="52"/>
        <v>0</v>
      </c>
      <c r="I166" s="217">
        <f t="shared" si="52"/>
        <v>0</v>
      </c>
    </row>
    <row r="167" spans="1:9" x14ac:dyDescent="0.25">
      <c r="A167" s="213" t="s">
        <v>136</v>
      </c>
      <c r="B167" s="248"/>
      <c r="C167" s="249">
        <f t="shared" si="49"/>
        <v>0</v>
      </c>
      <c r="D167" s="250">
        <f t="shared" si="50"/>
        <v>0</v>
      </c>
      <c r="E167" s="217">
        <f t="shared" si="50"/>
        <v>0</v>
      </c>
      <c r="F167" s="251"/>
      <c r="G167" s="216">
        <f t="shared" si="51"/>
        <v>0</v>
      </c>
      <c r="H167" s="216">
        <f t="shared" si="52"/>
        <v>0</v>
      </c>
      <c r="I167" s="217">
        <f t="shared" si="52"/>
        <v>0</v>
      </c>
    </row>
    <row r="168" spans="1:9" x14ac:dyDescent="0.25">
      <c r="A168" s="213" t="s">
        <v>137</v>
      </c>
      <c r="B168" s="248"/>
      <c r="C168" s="249">
        <f t="shared" si="49"/>
        <v>0</v>
      </c>
      <c r="D168" s="250">
        <f t="shared" si="50"/>
        <v>0</v>
      </c>
      <c r="E168" s="217">
        <f t="shared" si="50"/>
        <v>0</v>
      </c>
      <c r="F168" s="251"/>
      <c r="G168" s="216">
        <f t="shared" si="51"/>
        <v>0</v>
      </c>
      <c r="H168" s="216">
        <f t="shared" si="52"/>
        <v>0</v>
      </c>
      <c r="I168" s="217">
        <f t="shared" si="52"/>
        <v>0</v>
      </c>
    </row>
    <row r="169" spans="1:9" ht="17.25" thickBot="1" x14ac:dyDescent="0.3">
      <c r="A169" s="225" t="s">
        <v>139</v>
      </c>
      <c r="B169" s="258"/>
      <c r="C169" s="259">
        <f t="shared" si="49"/>
        <v>0</v>
      </c>
      <c r="D169" s="260">
        <f t="shared" si="50"/>
        <v>0</v>
      </c>
      <c r="E169" s="229">
        <f t="shared" si="50"/>
        <v>0</v>
      </c>
      <c r="F169" s="261"/>
      <c r="G169" s="228">
        <f t="shared" si="51"/>
        <v>0</v>
      </c>
      <c r="H169" s="228">
        <f t="shared" si="52"/>
        <v>0</v>
      </c>
      <c r="I169" s="229">
        <f t="shared" si="52"/>
        <v>0</v>
      </c>
    </row>
    <row r="170" spans="1:9" ht="17.25" thickBot="1" x14ac:dyDescent="0.3">
      <c r="A170" s="262" t="s">
        <v>25</v>
      </c>
      <c r="B170" s="504"/>
      <c r="C170" s="505"/>
      <c r="D170" s="505"/>
      <c r="E170" s="505"/>
      <c r="F170" s="505"/>
      <c r="G170" s="505"/>
      <c r="H170" s="505"/>
      <c r="I170" s="506"/>
    </row>
    <row r="171" spans="1:9" ht="17.25" thickBot="1" x14ac:dyDescent="0.3">
      <c r="A171" s="203" t="s">
        <v>122</v>
      </c>
      <c r="B171" s="263">
        <v>1000</v>
      </c>
      <c r="C171" s="264">
        <f t="shared" ref="C171:C182" si="53">B171/$N$1</f>
        <v>41.666666666666664</v>
      </c>
      <c r="D171" s="265">
        <f t="shared" ref="D171:E182" si="54">B171/10.65</f>
        <v>93.896713615023472</v>
      </c>
      <c r="E171" s="266">
        <f t="shared" si="54"/>
        <v>3.9123630672926444</v>
      </c>
      <c r="F171" s="263">
        <v>1000</v>
      </c>
      <c r="G171" s="267">
        <f t="shared" ref="G171:G182" si="55">F171/$N$1</f>
        <v>41.666666666666664</v>
      </c>
      <c r="H171" s="267">
        <f t="shared" ref="H171:I182" si="56">F171/10.65</f>
        <v>93.896713615023472</v>
      </c>
      <c r="I171" s="266">
        <f t="shared" si="56"/>
        <v>3.9123630672926444</v>
      </c>
    </row>
    <row r="172" spans="1:9" x14ac:dyDescent="0.25">
      <c r="A172" s="213" t="s">
        <v>124</v>
      </c>
      <c r="B172" s="268"/>
      <c r="C172" s="269">
        <f t="shared" si="53"/>
        <v>0</v>
      </c>
      <c r="D172" s="270">
        <f t="shared" si="54"/>
        <v>0</v>
      </c>
      <c r="E172" s="271">
        <f t="shared" si="54"/>
        <v>0</v>
      </c>
      <c r="F172" s="272"/>
      <c r="G172" s="273">
        <f t="shared" si="55"/>
        <v>0</v>
      </c>
      <c r="H172" s="273">
        <f t="shared" si="56"/>
        <v>0</v>
      </c>
      <c r="I172" s="271">
        <f t="shared" si="56"/>
        <v>0</v>
      </c>
    </row>
    <row r="173" spans="1:9" x14ac:dyDescent="0.25">
      <c r="A173" s="213" t="s">
        <v>126</v>
      </c>
      <c r="B173" s="268"/>
      <c r="C173" s="269">
        <f t="shared" si="53"/>
        <v>0</v>
      </c>
      <c r="D173" s="270">
        <f t="shared" si="54"/>
        <v>0</v>
      </c>
      <c r="E173" s="271">
        <f t="shared" si="54"/>
        <v>0</v>
      </c>
      <c r="F173" s="272"/>
      <c r="G173" s="273">
        <f t="shared" si="55"/>
        <v>0</v>
      </c>
      <c r="H173" s="273">
        <f t="shared" si="56"/>
        <v>0</v>
      </c>
      <c r="I173" s="271">
        <f t="shared" si="56"/>
        <v>0</v>
      </c>
    </row>
    <row r="174" spans="1:9" x14ac:dyDescent="0.25">
      <c r="A174" s="213" t="s">
        <v>128</v>
      </c>
      <c r="B174" s="268"/>
      <c r="C174" s="269">
        <f t="shared" si="53"/>
        <v>0</v>
      </c>
      <c r="D174" s="270">
        <f t="shared" si="54"/>
        <v>0</v>
      </c>
      <c r="E174" s="271">
        <f t="shared" si="54"/>
        <v>0</v>
      </c>
      <c r="F174" s="272"/>
      <c r="G174" s="273">
        <f t="shared" si="55"/>
        <v>0</v>
      </c>
      <c r="H174" s="273">
        <f t="shared" si="56"/>
        <v>0</v>
      </c>
      <c r="I174" s="271">
        <f t="shared" si="56"/>
        <v>0</v>
      </c>
    </row>
    <row r="175" spans="1:9" ht="17.25" thickBot="1" x14ac:dyDescent="0.3">
      <c r="A175" s="218" t="s">
        <v>129</v>
      </c>
      <c r="B175" s="274">
        <v>1000</v>
      </c>
      <c r="C175" s="275">
        <f t="shared" si="53"/>
        <v>41.666666666666664</v>
      </c>
      <c r="D175" s="276">
        <f t="shared" si="54"/>
        <v>93.896713615023472</v>
      </c>
      <c r="E175" s="277">
        <f t="shared" si="54"/>
        <v>3.9123630672926444</v>
      </c>
      <c r="F175" s="278">
        <v>1000</v>
      </c>
      <c r="G175" s="279">
        <f t="shared" si="55"/>
        <v>41.666666666666664</v>
      </c>
      <c r="H175" s="279">
        <f t="shared" si="56"/>
        <v>93.896713615023472</v>
      </c>
      <c r="I175" s="277">
        <f t="shared" si="56"/>
        <v>3.9123630672926444</v>
      </c>
    </row>
    <row r="176" spans="1:9" ht="17.25" thickBot="1" x14ac:dyDescent="0.3">
      <c r="A176" s="223" t="s">
        <v>132</v>
      </c>
      <c r="B176" s="263">
        <v>1000</v>
      </c>
      <c r="C176" s="264">
        <f t="shared" si="53"/>
        <v>41.666666666666664</v>
      </c>
      <c r="D176" s="265">
        <f t="shared" si="54"/>
        <v>93.896713615023472</v>
      </c>
      <c r="E176" s="266">
        <f t="shared" si="54"/>
        <v>3.9123630672926444</v>
      </c>
      <c r="F176" s="263">
        <v>0</v>
      </c>
      <c r="G176" s="267">
        <f t="shared" si="55"/>
        <v>0</v>
      </c>
      <c r="H176" s="267">
        <f t="shared" si="56"/>
        <v>0</v>
      </c>
      <c r="I176" s="266">
        <f t="shared" si="56"/>
        <v>0</v>
      </c>
    </row>
    <row r="177" spans="1:9" x14ac:dyDescent="0.25">
      <c r="A177" s="208" t="s">
        <v>133</v>
      </c>
      <c r="B177" s="280"/>
      <c r="C177" s="281">
        <f t="shared" si="53"/>
        <v>0</v>
      </c>
      <c r="D177" s="282">
        <f t="shared" si="54"/>
        <v>0</v>
      </c>
      <c r="E177" s="283">
        <f t="shared" si="54"/>
        <v>0</v>
      </c>
      <c r="F177" s="284"/>
      <c r="G177" s="285">
        <f t="shared" si="55"/>
        <v>0</v>
      </c>
      <c r="H177" s="285">
        <f t="shared" si="56"/>
        <v>0</v>
      </c>
      <c r="I177" s="283">
        <f t="shared" si="56"/>
        <v>0</v>
      </c>
    </row>
    <row r="178" spans="1:9" x14ac:dyDescent="0.25">
      <c r="A178" s="213" t="s">
        <v>134</v>
      </c>
      <c r="B178" s="268">
        <v>0</v>
      </c>
      <c r="C178" s="269">
        <f t="shared" si="53"/>
        <v>0</v>
      </c>
      <c r="D178" s="270">
        <f t="shared" si="54"/>
        <v>0</v>
      </c>
      <c r="E178" s="271">
        <f t="shared" si="54"/>
        <v>0</v>
      </c>
      <c r="F178" s="272">
        <v>0</v>
      </c>
      <c r="G178" s="273">
        <f t="shared" si="55"/>
        <v>0</v>
      </c>
      <c r="H178" s="273">
        <f t="shared" si="56"/>
        <v>0</v>
      </c>
      <c r="I178" s="271">
        <f t="shared" si="56"/>
        <v>0</v>
      </c>
    </row>
    <row r="179" spans="1:9" x14ac:dyDescent="0.25">
      <c r="A179" s="213" t="s">
        <v>135</v>
      </c>
      <c r="B179" s="268">
        <v>1000</v>
      </c>
      <c r="C179" s="269">
        <f t="shared" si="53"/>
        <v>41.666666666666664</v>
      </c>
      <c r="D179" s="270">
        <f t="shared" si="54"/>
        <v>93.896713615023472</v>
      </c>
      <c r="E179" s="271">
        <f t="shared" si="54"/>
        <v>3.9123630672926444</v>
      </c>
      <c r="F179" s="272"/>
      <c r="G179" s="273">
        <f t="shared" si="55"/>
        <v>0</v>
      </c>
      <c r="H179" s="273">
        <f t="shared" si="56"/>
        <v>0</v>
      </c>
      <c r="I179" s="271">
        <f t="shared" si="56"/>
        <v>0</v>
      </c>
    </row>
    <row r="180" spans="1:9" x14ac:dyDescent="0.25">
      <c r="A180" s="213" t="s">
        <v>136</v>
      </c>
      <c r="B180" s="268"/>
      <c r="C180" s="269">
        <f t="shared" si="53"/>
        <v>0</v>
      </c>
      <c r="D180" s="270">
        <f t="shared" si="54"/>
        <v>0</v>
      </c>
      <c r="E180" s="271">
        <f t="shared" si="54"/>
        <v>0</v>
      </c>
      <c r="F180" s="272"/>
      <c r="G180" s="273">
        <f t="shared" si="55"/>
        <v>0</v>
      </c>
      <c r="H180" s="273">
        <f t="shared" si="56"/>
        <v>0</v>
      </c>
      <c r="I180" s="271">
        <f t="shared" si="56"/>
        <v>0</v>
      </c>
    </row>
    <row r="181" spans="1:9" x14ac:dyDescent="0.25">
      <c r="A181" s="213" t="s">
        <v>137</v>
      </c>
      <c r="B181" s="268"/>
      <c r="C181" s="269">
        <f t="shared" si="53"/>
        <v>0</v>
      </c>
      <c r="D181" s="270">
        <f t="shared" si="54"/>
        <v>0</v>
      </c>
      <c r="E181" s="271">
        <f t="shared" si="54"/>
        <v>0</v>
      </c>
      <c r="F181" s="272"/>
      <c r="G181" s="273">
        <f t="shared" si="55"/>
        <v>0</v>
      </c>
      <c r="H181" s="273">
        <f t="shared" si="56"/>
        <v>0</v>
      </c>
      <c r="I181" s="271">
        <f t="shared" si="56"/>
        <v>0</v>
      </c>
    </row>
    <row r="182" spans="1:9" ht="17.25" thickBot="1" x14ac:dyDescent="0.3">
      <c r="A182" s="225" t="s">
        <v>139</v>
      </c>
      <c r="B182" s="286"/>
      <c r="C182" s="287">
        <f t="shared" si="53"/>
        <v>0</v>
      </c>
      <c r="D182" s="288">
        <f t="shared" si="54"/>
        <v>0</v>
      </c>
      <c r="E182" s="289">
        <f t="shared" si="54"/>
        <v>0</v>
      </c>
      <c r="F182" s="290"/>
      <c r="G182" s="291">
        <f t="shared" si="55"/>
        <v>0</v>
      </c>
      <c r="H182" s="291">
        <f t="shared" si="56"/>
        <v>0</v>
      </c>
      <c r="I182" s="289">
        <f t="shared" si="56"/>
        <v>0</v>
      </c>
    </row>
    <row r="183" spans="1:9" ht="17.25" thickBot="1" x14ac:dyDescent="0.3">
      <c r="A183" s="202" t="s">
        <v>26</v>
      </c>
      <c r="B183" s="504"/>
      <c r="C183" s="505"/>
      <c r="D183" s="505"/>
      <c r="E183" s="505"/>
      <c r="F183" s="505"/>
      <c r="G183" s="505"/>
      <c r="H183" s="505"/>
      <c r="I183" s="506"/>
    </row>
    <row r="184" spans="1:9" ht="17.25" thickBot="1" x14ac:dyDescent="0.3">
      <c r="A184" s="203" t="s">
        <v>122</v>
      </c>
      <c r="B184" s="238">
        <v>1000</v>
      </c>
      <c r="C184" s="243">
        <f t="shared" ref="C184:C195" si="57">B184/$N$1</f>
        <v>41.666666666666664</v>
      </c>
      <c r="D184" s="244">
        <f t="shared" ref="D184:E195" si="58">B184/10.65</f>
        <v>93.896713615023472</v>
      </c>
      <c r="E184" s="207">
        <f t="shared" si="58"/>
        <v>3.9123630672926444</v>
      </c>
      <c r="F184" s="238">
        <v>1000</v>
      </c>
      <c r="G184" s="206">
        <f t="shared" ref="G184:G195" si="59">F184/$N$1</f>
        <v>41.666666666666664</v>
      </c>
      <c r="H184" s="206">
        <f t="shared" ref="H184:I195" si="60">F184/10.65</f>
        <v>93.896713615023472</v>
      </c>
      <c r="I184" s="207">
        <f t="shared" si="60"/>
        <v>3.9123630672926444</v>
      </c>
    </row>
    <row r="185" spans="1:9" x14ac:dyDescent="0.25">
      <c r="A185" s="213" t="s">
        <v>124</v>
      </c>
      <c r="B185" s="248"/>
      <c r="C185" s="249">
        <f t="shared" si="57"/>
        <v>0</v>
      </c>
      <c r="D185" s="250">
        <f t="shared" si="58"/>
        <v>0</v>
      </c>
      <c r="E185" s="217">
        <f t="shared" si="58"/>
        <v>0</v>
      </c>
      <c r="F185" s="251"/>
      <c r="G185" s="216">
        <f t="shared" si="59"/>
        <v>0</v>
      </c>
      <c r="H185" s="216">
        <f t="shared" si="60"/>
        <v>0</v>
      </c>
      <c r="I185" s="217">
        <f t="shared" si="60"/>
        <v>0</v>
      </c>
    </row>
    <row r="186" spans="1:9" x14ac:dyDescent="0.25">
      <c r="A186" s="213" t="s">
        <v>126</v>
      </c>
      <c r="B186" s="248"/>
      <c r="C186" s="249">
        <f t="shared" si="57"/>
        <v>0</v>
      </c>
      <c r="D186" s="250">
        <f t="shared" si="58"/>
        <v>0</v>
      </c>
      <c r="E186" s="217">
        <f t="shared" si="58"/>
        <v>0</v>
      </c>
      <c r="F186" s="251"/>
      <c r="G186" s="216">
        <f t="shared" si="59"/>
        <v>0</v>
      </c>
      <c r="H186" s="216">
        <f t="shared" si="60"/>
        <v>0</v>
      </c>
      <c r="I186" s="217">
        <f t="shared" si="60"/>
        <v>0</v>
      </c>
    </row>
    <row r="187" spans="1:9" x14ac:dyDescent="0.25">
      <c r="A187" s="213" t="s">
        <v>128</v>
      </c>
      <c r="B187" s="248"/>
      <c r="C187" s="249">
        <f t="shared" si="57"/>
        <v>0</v>
      </c>
      <c r="D187" s="250">
        <f t="shared" si="58"/>
        <v>0</v>
      </c>
      <c r="E187" s="217">
        <f t="shared" si="58"/>
        <v>0</v>
      </c>
      <c r="F187" s="251"/>
      <c r="G187" s="216">
        <f t="shared" si="59"/>
        <v>0</v>
      </c>
      <c r="H187" s="216">
        <f t="shared" si="60"/>
        <v>0</v>
      </c>
      <c r="I187" s="217">
        <f t="shared" si="60"/>
        <v>0</v>
      </c>
    </row>
    <row r="188" spans="1:9" ht="17.25" thickBot="1" x14ac:dyDescent="0.3">
      <c r="A188" s="218" t="s">
        <v>129</v>
      </c>
      <c r="B188" s="252">
        <v>1000</v>
      </c>
      <c r="C188" s="253">
        <f t="shared" si="57"/>
        <v>41.666666666666664</v>
      </c>
      <c r="D188" s="254">
        <f t="shared" si="58"/>
        <v>93.896713615023472</v>
      </c>
      <c r="E188" s="222">
        <f t="shared" si="58"/>
        <v>3.9123630672926444</v>
      </c>
      <c r="F188" s="255">
        <v>1000</v>
      </c>
      <c r="G188" s="221">
        <f t="shared" si="59"/>
        <v>41.666666666666664</v>
      </c>
      <c r="H188" s="221">
        <f t="shared" si="60"/>
        <v>93.896713615023472</v>
      </c>
      <c r="I188" s="222">
        <f t="shared" si="60"/>
        <v>3.9123630672926444</v>
      </c>
    </row>
    <row r="189" spans="1:9" ht="17.25" thickBot="1" x14ac:dyDescent="0.3">
      <c r="A189" s="223" t="s">
        <v>132</v>
      </c>
      <c r="B189" s="240">
        <v>1000</v>
      </c>
      <c r="C189" s="256">
        <f t="shared" si="57"/>
        <v>41.666666666666664</v>
      </c>
      <c r="D189" s="257">
        <f t="shared" si="58"/>
        <v>93.896713615023472</v>
      </c>
      <c r="E189" s="233">
        <f t="shared" si="58"/>
        <v>3.9123630672926444</v>
      </c>
      <c r="F189" s="240">
        <v>0</v>
      </c>
      <c r="G189" s="232">
        <f t="shared" si="59"/>
        <v>0</v>
      </c>
      <c r="H189" s="232">
        <f t="shared" si="60"/>
        <v>0</v>
      </c>
      <c r="I189" s="233">
        <f t="shared" si="60"/>
        <v>0</v>
      </c>
    </row>
    <row r="190" spans="1:9" x14ac:dyDescent="0.25">
      <c r="A190" s="208" t="s">
        <v>133</v>
      </c>
      <c r="B190" s="245"/>
      <c r="C190" s="246">
        <f t="shared" si="57"/>
        <v>0</v>
      </c>
      <c r="D190" s="247">
        <f t="shared" si="58"/>
        <v>0</v>
      </c>
      <c r="E190" s="212">
        <f t="shared" si="58"/>
        <v>0</v>
      </c>
      <c r="F190" s="239"/>
      <c r="G190" s="211">
        <f t="shared" si="59"/>
        <v>0</v>
      </c>
      <c r="H190" s="211">
        <f t="shared" si="60"/>
        <v>0</v>
      </c>
      <c r="I190" s="212">
        <f t="shared" si="60"/>
        <v>0</v>
      </c>
    </row>
    <row r="191" spans="1:9" x14ac:dyDescent="0.25">
      <c r="A191" s="213" t="s">
        <v>134</v>
      </c>
      <c r="B191" s="248">
        <v>0</v>
      </c>
      <c r="C191" s="249">
        <f t="shared" si="57"/>
        <v>0</v>
      </c>
      <c r="D191" s="250">
        <f t="shared" si="58"/>
        <v>0</v>
      </c>
      <c r="E191" s="217">
        <f t="shared" si="58"/>
        <v>0</v>
      </c>
      <c r="F191" s="251">
        <v>0</v>
      </c>
      <c r="G191" s="216">
        <f t="shared" si="59"/>
        <v>0</v>
      </c>
      <c r="H191" s="216">
        <f t="shared" si="60"/>
        <v>0</v>
      </c>
      <c r="I191" s="217">
        <f t="shared" si="60"/>
        <v>0</v>
      </c>
    </row>
    <row r="192" spans="1:9" x14ac:dyDescent="0.25">
      <c r="A192" s="213" t="s">
        <v>135</v>
      </c>
      <c r="B192" s="248">
        <v>1000</v>
      </c>
      <c r="C192" s="249">
        <f t="shared" si="57"/>
        <v>41.666666666666664</v>
      </c>
      <c r="D192" s="250">
        <f t="shared" si="58"/>
        <v>93.896713615023472</v>
      </c>
      <c r="E192" s="217">
        <f t="shared" si="58"/>
        <v>3.9123630672926444</v>
      </c>
      <c r="F192" s="251"/>
      <c r="G192" s="216">
        <f t="shared" si="59"/>
        <v>0</v>
      </c>
      <c r="H192" s="216">
        <f t="shared" si="60"/>
        <v>0</v>
      </c>
      <c r="I192" s="217">
        <f t="shared" si="60"/>
        <v>0</v>
      </c>
    </row>
    <row r="193" spans="1:9" x14ac:dyDescent="0.25">
      <c r="A193" s="213" t="s">
        <v>136</v>
      </c>
      <c r="B193" s="248"/>
      <c r="C193" s="249">
        <f t="shared" si="57"/>
        <v>0</v>
      </c>
      <c r="D193" s="250">
        <f t="shared" si="58"/>
        <v>0</v>
      </c>
      <c r="E193" s="217">
        <f t="shared" si="58"/>
        <v>0</v>
      </c>
      <c r="F193" s="251"/>
      <c r="G193" s="216">
        <f t="shared" si="59"/>
        <v>0</v>
      </c>
      <c r="H193" s="216">
        <f t="shared" si="60"/>
        <v>0</v>
      </c>
      <c r="I193" s="217">
        <f t="shared" si="60"/>
        <v>0</v>
      </c>
    </row>
    <row r="194" spans="1:9" x14ac:dyDescent="0.25">
      <c r="A194" s="213" t="s">
        <v>137</v>
      </c>
      <c r="B194" s="248"/>
      <c r="C194" s="249">
        <f t="shared" si="57"/>
        <v>0</v>
      </c>
      <c r="D194" s="250">
        <f t="shared" si="58"/>
        <v>0</v>
      </c>
      <c r="E194" s="217">
        <f t="shared" si="58"/>
        <v>0</v>
      </c>
      <c r="F194" s="251"/>
      <c r="G194" s="216">
        <f t="shared" si="59"/>
        <v>0</v>
      </c>
      <c r="H194" s="216">
        <f t="shared" si="60"/>
        <v>0</v>
      </c>
      <c r="I194" s="217">
        <f t="shared" si="60"/>
        <v>0</v>
      </c>
    </row>
    <row r="195" spans="1:9" ht="17.25" thickBot="1" x14ac:dyDescent="0.3">
      <c r="A195" s="225" t="s">
        <v>139</v>
      </c>
      <c r="B195" s="258"/>
      <c r="C195" s="259">
        <f t="shared" si="57"/>
        <v>0</v>
      </c>
      <c r="D195" s="260">
        <f t="shared" si="58"/>
        <v>0</v>
      </c>
      <c r="E195" s="229">
        <f t="shared" si="58"/>
        <v>0</v>
      </c>
      <c r="F195" s="261"/>
      <c r="G195" s="228">
        <f t="shared" si="59"/>
        <v>0</v>
      </c>
      <c r="H195" s="228">
        <f t="shared" si="60"/>
        <v>0</v>
      </c>
      <c r="I195" s="229">
        <f t="shared" si="60"/>
        <v>0</v>
      </c>
    </row>
    <row r="196" spans="1:9" ht="17.25" thickBot="1" x14ac:dyDescent="0.3">
      <c r="A196" s="202" t="s">
        <v>27</v>
      </c>
      <c r="B196" s="504"/>
      <c r="C196" s="505"/>
      <c r="D196" s="505"/>
      <c r="E196" s="505"/>
      <c r="F196" s="505"/>
      <c r="G196" s="505"/>
      <c r="H196" s="505"/>
      <c r="I196" s="506"/>
    </row>
    <row r="197" spans="1:9" ht="17.25" thickBot="1" x14ac:dyDescent="0.3">
      <c r="A197" s="203" t="s">
        <v>122</v>
      </c>
      <c r="B197" s="238">
        <v>1000</v>
      </c>
      <c r="C197" s="243">
        <f t="shared" ref="C197:C208" si="61">B197/$N$1</f>
        <v>41.666666666666664</v>
      </c>
      <c r="D197" s="244">
        <f t="shared" ref="D197:E208" si="62">B197/10.65</f>
        <v>93.896713615023472</v>
      </c>
      <c r="E197" s="207">
        <f t="shared" si="62"/>
        <v>3.9123630672926444</v>
      </c>
      <c r="F197" s="238">
        <v>1000</v>
      </c>
      <c r="G197" s="206">
        <f t="shared" ref="G197:G208" si="63">F197/$N$1</f>
        <v>41.666666666666664</v>
      </c>
      <c r="H197" s="206">
        <f t="shared" ref="H197:I208" si="64">F197/10.65</f>
        <v>93.896713615023472</v>
      </c>
      <c r="I197" s="207">
        <f t="shared" si="64"/>
        <v>3.9123630672926444</v>
      </c>
    </row>
    <row r="198" spans="1:9" x14ac:dyDescent="0.25">
      <c r="A198" s="213" t="s">
        <v>124</v>
      </c>
      <c r="B198" s="248"/>
      <c r="C198" s="249">
        <f t="shared" si="61"/>
        <v>0</v>
      </c>
      <c r="D198" s="250">
        <f t="shared" si="62"/>
        <v>0</v>
      </c>
      <c r="E198" s="217">
        <f t="shared" si="62"/>
        <v>0</v>
      </c>
      <c r="F198" s="251"/>
      <c r="G198" s="216">
        <f t="shared" si="63"/>
        <v>0</v>
      </c>
      <c r="H198" s="216">
        <f t="shared" si="64"/>
        <v>0</v>
      </c>
      <c r="I198" s="217">
        <f t="shared" si="64"/>
        <v>0</v>
      </c>
    </row>
    <row r="199" spans="1:9" x14ac:dyDescent="0.25">
      <c r="A199" s="213" t="s">
        <v>126</v>
      </c>
      <c r="B199" s="248"/>
      <c r="C199" s="249">
        <f t="shared" si="61"/>
        <v>0</v>
      </c>
      <c r="D199" s="250">
        <f t="shared" si="62"/>
        <v>0</v>
      </c>
      <c r="E199" s="217">
        <f t="shared" si="62"/>
        <v>0</v>
      </c>
      <c r="F199" s="251"/>
      <c r="G199" s="216">
        <f t="shared" si="63"/>
        <v>0</v>
      </c>
      <c r="H199" s="216">
        <f t="shared" si="64"/>
        <v>0</v>
      </c>
      <c r="I199" s="217">
        <f t="shared" si="64"/>
        <v>0</v>
      </c>
    </row>
    <row r="200" spans="1:9" x14ac:dyDescent="0.25">
      <c r="A200" s="213" t="s">
        <v>128</v>
      </c>
      <c r="B200" s="248"/>
      <c r="C200" s="249">
        <f t="shared" si="61"/>
        <v>0</v>
      </c>
      <c r="D200" s="250">
        <f t="shared" si="62"/>
        <v>0</v>
      </c>
      <c r="E200" s="217">
        <f t="shared" si="62"/>
        <v>0</v>
      </c>
      <c r="F200" s="251"/>
      <c r="G200" s="216">
        <f t="shared" si="63"/>
        <v>0</v>
      </c>
      <c r="H200" s="216">
        <f t="shared" si="64"/>
        <v>0</v>
      </c>
      <c r="I200" s="217">
        <f t="shared" si="64"/>
        <v>0</v>
      </c>
    </row>
    <row r="201" spans="1:9" ht="17.25" thickBot="1" x14ac:dyDescent="0.3">
      <c r="A201" s="218" t="s">
        <v>129</v>
      </c>
      <c r="B201" s="252">
        <v>1000</v>
      </c>
      <c r="C201" s="253">
        <f t="shared" si="61"/>
        <v>41.666666666666664</v>
      </c>
      <c r="D201" s="254">
        <f t="shared" si="62"/>
        <v>93.896713615023472</v>
      </c>
      <c r="E201" s="222">
        <f t="shared" si="62"/>
        <v>3.9123630672926444</v>
      </c>
      <c r="F201" s="255">
        <v>1000</v>
      </c>
      <c r="G201" s="221">
        <f t="shared" si="63"/>
        <v>41.666666666666664</v>
      </c>
      <c r="H201" s="221">
        <f t="shared" si="64"/>
        <v>93.896713615023472</v>
      </c>
      <c r="I201" s="222">
        <f t="shared" si="64"/>
        <v>3.9123630672926444</v>
      </c>
    </row>
    <row r="202" spans="1:9" ht="17.25" thickBot="1" x14ac:dyDescent="0.3">
      <c r="A202" s="223" t="s">
        <v>132</v>
      </c>
      <c r="B202" s="238">
        <v>1000</v>
      </c>
      <c r="C202" s="243">
        <f t="shared" si="61"/>
        <v>41.666666666666664</v>
      </c>
      <c r="D202" s="244">
        <f t="shared" si="62"/>
        <v>93.896713615023472</v>
      </c>
      <c r="E202" s="207">
        <f t="shared" si="62"/>
        <v>3.9123630672926444</v>
      </c>
      <c r="F202" s="238">
        <v>0</v>
      </c>
      <c r="G202" s="206">
        <f t="shared" si="63"/>
        <v>0</v>
      </c>
      <c r="H202" s="206">
        <f t="shared" si="64"/>
        <v>0</v>
      </c>
      <c r="I202" s="207">
        <f t="shared" si="64"/>
        <v>0</v>
      </c>
    </row>
    <row r="203" spans="1:9" x14ac:dyDescent="0.25">
      <c r="A203" s="208" t="s">
        <v>133</v>
      </c>
      <c r="B203" s="245"/>
      <c r="C203" s="246">
        <f t="shared" si="61"/>
        <v>0</v>
      </c>
      <c r="D203" s="247">
        <f t="shared" si="62"/>
        <v>0</v>
      </c>
      <c r="E203" s="212">
        <f t="shared" si="62"/>
        <v>0</v>
      </c>
      <c r="F203" s="239"/>
      <c r="G203" s="211">
        <f t="shared" si="63"/>
        <v>0</v>
      </c>
      <c r="H203" s="211">
        <f t="shared" si="64"/>
        <v>0</v>
      </c>
      <c r="I203" s="212">
        <f t="shared" si="64"/>
        <v>0</v>
      </c>
    </row>
    <row r="204" spans="1:9" x14ac:dyDescent="0.25">
      <c r="A204" s="213" t="s">
        <v>134</v>
      </c>
      <c r="B204" s="248">
        <v>0</v>
      </c>
      <c r="C204" s="249">
        <f t="shared" si="61"/>
        <v>0</v>
      </c>
      <c r="D204" s="250">
        <f t="shared" si="62"/>
        <v>0</v>
      </c>
      <c r="E204" s="217">
        <f t="shared" si="62"/>
        <v>0</v>
      </c>
      <c r="F204" s="251">
        <v>0</v>
      </c>
      <c r="G204" s="216">
        <f t="shared" si="63"/>
        <v>0</v>
      </c>
      <c r="H204" s="216">
        <f t="shared" si="64"/>
        <v>0</v>
      </c>
      <c r="I204" s="217">
        <f t="shared" si="64"/>
        <v>0</v>
      </c>
    </row>
    <row r="205" spans="1:9" x14ac:dyDescent="0.25">
      <c r="A205" s="213" t="s">
        <v>135</v>
      </c>
      <c r="B205" s="248">
        <v>1000</v>
      </c>
      <c r="C205" s="249">
        <f t="shared" si="61"/>
        <v>41.666666666666664</v>
      </c>
      <c r="D205" s="250">
        <f t="shared" si="62"/>
        <v>93.896713615023472</v>
      </c>
      <c r="E205" s="217">
        <f t="shared" si="62"/>
        <v>3.9123630672926444</v>
      </c>
      <c r="F205" s="251"/>
      <c r="G205" s="216">
        <f t="shared" si="63"/>
        <v>0</v>
      </c>
      <c r="H205" s="216">
        <f t="shared" si="64"/>
        <v>0</v>
      </c>
      <c r="I205" s="217">
        <f t="shared" si="64"/>
        <v>0</v>
      </c>
    </row>
    <row r="206" spans="1:9" x14ac:dyDescent="0.25">
      <c r="A206" s="213" t="s">
        <v>136</v>
      </c>
      <c r="B206" s="248"/>
      <c r="C206" s="249">
        <f t="shared" si="61"/>
        <v>0</v>
      </c>
      <c r="D206" s="250">
        <f t="shared" si="62"/>
        <v>0</v>
      </c>
      <c r="E206" s="217">
        <f t="shared" si="62"/>
        <v>0</v>
      </c>
      <c r="F206" s="251"/>
      <c r="G206" s="216">
        <f t="shared" si="63"/>
        <v>0</v>
      </c>
      <c r="H206" s="216">
        <f t="shared" si="64"/>
        <v>0</v>
      </c>
      <c r="I206" s="217">
        <f t="shared" si="64"/>
        <v>0</v>
      </c>
    </row>
    <row r="207" spans="1:9" x14ac:dyDescent="0.25">
      <c r="A207" s="213" t="s">
        <v>137</v>
      </c>
      <c r="B207" s="248"/>
      <c r="C207" s="249">
        <f t="shared" si="61"/>
        <v>0</v>
      </c>
      <c r="D207" s="250">
        <f t="shared" si="62"/>
        <v>0</v>
      </c>
      <c r="E207" s="217">
        <f t="shared" si="62"/>
        <v>0</v>
      </c>
      <c r="F207" s="251"/>
      <c r="G207" s="216">
        <f t="shared" si="63"/>
        <v>0</v>
      </c>
      <c r="H207" s="216">
        <f t="shared" si="64"/>
        <v>0</v>
      </c>
      <c r="I207" s="217">
        <f t="shared" si="64"/>
        <v>0</v>
      </c>
    </row>
    <row r="208" spans="1:9" ht="17.25" thickBot="1" x14ac:dyDescent="0.3">
      <c r="A208" s="225" t="s">
        <v>139</v>
      </c>
      <c r="B208" s="258"/>
      <c r="C208" s="259">
        <f t="shared" si="61"/>
        <v>0</v>
      </c>
      <c r="D208" s="260">
        <f t="shared" si="62"/>
        <v>0</v>
      </c>
      <c r="E208" s="229">
        <f t="shared" si="62"/>
        <v>0</v>
      </c>
      <c r="F208" s="261"/>
      <c r="G208" s="228">
        <f t="shared" si="63"/>
        <v>0</v>
      </c>
      <c r="H208" s="228">
        <f t="shared" si="64"/>
        <v>0</v>
      </c>
      <c r="I208" s="229">
        <f t="shared" si="64"/>
        <v>0</v>
      </c>
    </row>
    <row r="209" spans="1:9" ht="17.25" thickBot="1" x14ac:dyDescent="0.3">
      <c r="A209" s="202" t="s">
        <v>28</v>
      </c>
      <c r="B209" s="504"/>
      <c r="C209" s="505"/>
      <c r="D209" s="505"/>
      <c r="E209" s="505"/>
      <c r="F209" s="505"/>
      <c r="G209" s="505"/>
      <c r="H209" s="505"/>
      <c r="I209" s="506"/>
    </row>
    <row r="210" spans="1:9" ht="17.25" thickBot="1" x14ac:dyDescent="0.3">
      <c r="A210" s="203" t="s">
        <v>122</v>
      </c>
      <c r="B210" s="238">
        <v>1000</v>
      </c>
      <c r="C210" s="243">
        <f t="shared" ref="C210:C221" si="65">B210/$N$1</f>
        <v>41.666666666666664</v>
      </c>
      <c r="D210" s="244">
        <f t="shared" ref="D210:E221" si="66">B210/10.65</f>
        <v>93.896713615023472</v>
      </c>
      <c r="E210" s="207">
        <f t="shared" si="66"/>
        <v>3.9123630672926444</v>
      </c>
      <c r="F210" s="238">
        <v>1000</v>
      </c>
      <c r="G210" s="206">
        <f t="shared" ref="G210:G221" si="67">F210/$N$1</f>
        <v>41.666666666666664</v>
      </c>
      <c r="H210" s="206">
        <f t="shared" ref="H210:I221" si="68">F210/10.65</f>
        <v>93.896713615023472</v>
      </c>
      <c r="I210" s="207">
        <f t="shared" si="68"/>
        <v>3.9123630672926444</v>
      </c>
    </row>
    <row r="211" spans="1:9" x14ac:dyDescent="0.25">
      <c r="A211" s="213" t="s">
        <v>124</v>
      </c>
      <c r="B211" s="248"/>
      <c r="C211" s="249">
        <f t="shared" si="65"/>
        <v>0</v>
      </c>
      <c r="D211" s="250">
        <f t="shared" si="66"/>
        <v>0</v>
      </c>
      <c r="E211" s="217">
        <f t="shared" si="66"/>
        <v>0</v>
      </c>
      <c r="F211" s="251"/>
      <c r="G211" s="216">
        <f t="shared" si="67"/>
        <v>0</v>
      </c>
      <c r="H211" s="216">
        <f t="shared" si="68"/>
        <v>0</v>
      </c>
      <c r="I211" s="217">
        <f t="shared" si="68"/>
        <v>0</v>
      </c>
    </row>
    <row r="212" spans="1:9" x14ac:dyDescent="0.25">
      <c r="A212" s="213" t="s">
        <v>126</v>
      </c>
      <c r="B212" s="248"/>
      <c r="C212" s="249">
        <f t="shared" si="65"/>
        <v>0</v>
      </c>
      <c r="D212" s="250">
        <f t="shared" si="66"/>
        <v>0</v>
      </c>
      <c r="E212" s="217">
        <f t="shared" si="66"/>
        <v>0</v>
      </c>
      <c r="F212" s="251"/>
      <c r="G212" s="216">
        <f t="shared" si="67"/>
        <v>0</v>
      </c>
      <c r="H212" s="216">
        <f t="shared" si="68"/>
        <v>0</v>
      </c>
      <c r="I212" s="217">
        <f t="shared" si="68"/>
        <v>0</v>
      </c>
    </row>
    <row r="213" spans="1:9" x14ac:dyDescent="0.25">
      <c r="A213" s="213" t="s">
        <v>128</v>
      </c>
      <c r="B213" s="248"/>
      <c r="C213" s="249">
        <f t="shared" si="65"/>
        <v>0</v>
      </c>
      <c r="D213" s="250">
        <f t="shared" si="66"/>
        <v>0</v>
      </c>
      <c r="E213" s="217">
        <f t="shared" si="66"/>
        <v>0</v>
      </c>
      <c r="F213" s="251"/>
      <c r="G213" s="216">
        <f t="shared" si="67"/>
        <v>0</v>
      </c>
      <c r="H213" s="216">
        <f t="shared" si="68"/>
        <v>0</v>
      </c>
      <c r="I213" s="217">
        <f t="shared" si="68"/>
        <v>0</v>
      </c>
    </row>
    <row r="214" spans="1:9" ht="17.25" thickBot="1" x14ac:dyDescent="0.3">
      <c r="A214" s="218" t="s">
        <v>129</v>
      </c>
      <c r="B214" s="252">
        <v>1000</v>
      </c>
      <c r="C214" s="253">
        <f t="shared" si="65"/>
        <v>41.666666666666664</v>
      </c>
      <c r="D214" s="254">
        <f t="shared" si="66"/>
        <v>93.896713615023472</v>
      </c>
      <c r="E214" s="222">
        <f t="shared" si="66"/>
        <v>3.9123630672926444</v>
      </c>
      <c r="F214" s="255">
        <v>1000</v>
      </c>
      <c r="G214" s="221">
        <f t="shared" si="67"/>
        <v>41.666666666666664</v>
      </c>
      <c r="H214" s="221">
        <f t="shared" si="68"/>
        <v>93.896713615023472</v>
      </c>
      <c r="I214" s="222">
        <f t="shared" si="68"/>
        <v>3.9123630672926444</v>
      </c>
    </row>
    <row r="215" spans="1:9" ht="17.25" thickBot="1" x14ac:dyDescent="0.3">
      <c r="A215" s="223" t="s">
        <v>132</v>
      </c>
      <c r="B215" s="292">
        <v>1000</v>
      </c>
      <c r="C215" s="256">
        <f t="shared" si="65"/>
        <v>41.666666666666664</v>
      </c>
      <c r="D215" s="257">
        <f t="shared" si="66"/>
        <v>93.896713615023472</v>
      </c>
      <c r="E215" s="233">
        <f t="shared" si="66"/>
        <v>3.9123630672926444</v>
      </c>
      <c r="F215" s="240">
        <v>0</v>
      </c>
      <c r="G215" s="232">
        <f t="shared" si="67"/>
        <v>0</v>
      </c>
      <c r="H215" s="232">
        <f t="shared" si="68"/>
        <v>0</v>
      </c>
      <c r="I215" s="233">
        <f t="shared" si="68"/>
        <v>0</v>
      </c>
    </row>
    <row r="216" spans="1:9" x14ac:dyDescent="0.25">
      <c r="A216" s="208" t="s">
        <v>133</v>
      </c>
      <c r="B216" s="245"/>
      <c r="C216" s="246">
        <f t="shared" si="65"/>
        <v>0</v>
      </c>
      <c r="D216" s="247">
        <f t="shared" si="66"/>
        <v>0</v>
      </c>
      <c r="E216" s="212">
        <f t="shared" si="66"/>
        <v>0</v>
      </c>
      <c r="F216" s="239"/>
      <c r="G216" s="211">
        <f t="shared" si="67"/>
        <v>0</v>
      </c>
      <c r="H216" s="211">
        <f t="shared" si="68"/>
        <v>0</v>
      </c>
      <c r="I216" s="212">
        <f t="shared" si="68"/>
        <v>0</v>
      </c>
    </row>
    <row r="217" spans="1:9" x14ac:dyDescent="0.25">
      <c r="A217" s="213" t="s">
        <v>134</v>
      </c>
      <c r="B217" s="248">
        <v>0</v>
      </c>
      <c r="C217" s="249">
        <f t="shared" si="65"/>
        <v>0</v>
      </c>
      <c r="D217" s="250">
        <f t="shared" si="66"/>
        <v>0</v>
      </c>
      <c r="E217" s="217">
        <f t="shared" si="66"/>
        <v>0</v>
      </c>
      <c r="F217" s="251">
        <v>0</v>
      </c>
      <c r="G217" s="216">
        <f t="shared" si="67"/>
        <v>0</v>
      </c>
      <c r="H217" s="216">
        <f t="shared" si="68"/>
        <v>0</v>
      </c>
      <c r="I217" s="217">
        <f t="shared" si="68"/>
        <v>0</v>
      </c>
    </row>
    <row r="218" spans="1:9" x14ac:dyDescent="0.25">
      <c r="A218" s="213" t="s">
        <v>135</v>
      </c>
      <c r="B218" s="248">
        <v>1000</v>
      </c>
      <c r="C218" s="249">
        <f t="shared" si="65"/>
        <v>41.666666666666664</v>
      </c>
      <c r="D218" s="250">
        <f t="shared" si="66"/>
        <v>93.896713615023472</v>
      </c>
      <c r="E218" s="217">
        <f t="shared" si="66"/>
        <v>3.9123630672926444</v>
      </c>
      <c r="F218" s="251"/>
      <c r="G218" s="216">
        <f t="shared" si="67"/>
        <v>0</v>
      </c>
      <c r="H218" s="216">
        <f t="shared" si="68"/>
        <v>0</v>
      </c>
      <c r="I218" s="217">
        <f t="shared" si="68"/>
        <v>0</v>
      </c>
    </row>
    <row r="219" spans="1:9" x14ac:dyDescent="0.25">
      <c r="A219" s="213" t="s">
        <v>136</v>
      </c>
      <c r="B219" s="248"/>
      <c r="C219" s="249">
        <f t="shared" si="65"/>
        <v>0</v>
      </c>
      <c r="D219" s="250">
        <f t="shared" si="66"/>
        <v>0</v>
      </c>
      <c r="E219" s="217">
        <f t="shared" si="66"/>
        <v>0</v>
      </c>
      <c r="F219" s="251"/>
      <c r="G219" s="216">
        <f t="shared" si="67"/>
        <v>0</v>
      </c>
      <c r="H219" s="216">
        <f t="shared" si="68"/>
        <v>0</v>
      </c>
      <c r="I219" s="217">
        <f t="shared" si="68"/>
        <v>0</v>
      </c>
    </row>
    <row r="220" spans="1:9" x14ac:dyDescent="0.25">
      <c r="A220" s="213" t="s">
        <v>137</v>
      </c>
      <c r="B220" s="248"/>
      <c r="C220" s="249">
        <f t="shared" si="65"/>
        <v>0</v>
      </c>
      <c r="D220" s="250">
        <f t="shared" si="66"/>
        <v>0</v>
      </c>
      <c r="E220" s="217">
        <f t="shared" si="66"/>
        <v>0</v>
      </c>
      <c r="F220" s="251"/>
      <c r="G220" s="216">
        <f t="shared" si="67"/>
        <v>0</v>
      </c>
      <c r="H220" s="216">
        <f t="shared" si="68"/>
        <v>0</v>
      </c>
      <c r="I220" s="217">
        <f t="shared" si="68"/>
        <v>0</v>
      </c>
    </row>
    <row r="221" spans="1:9" ht="17.25" thickBot="1" x14ac:dyDescent="0.3">
      <c r="A221" s="218" t="s">
        <v>139</v>
      </c>
      <c r="B221" s="258"/>
      <c r="C221" s="259">
        <f t="shared" si="65"/>
        <v>0</v>
      </c>
      <c r="D221" s="260">
        <f t="shared" si="66"/>
        <v>0</v>
      </c>
      <c r="E221" s="229">
        <f t="shared" si="66"/>
        <v>0</v>
      </c>
      <c r="F221" s="261"/>
      <c r="G221" s="228">
        <f t="shared" si="67"/>
        <v>0</v>
      </c>
      <c r="H221" s="228">
        <f t="shared" si="68"/>
        <v>0</v>
      </c>
      <c r="I221" s="229">
        <f t="shared" si="68"/>
        <v>0</v>
      </c>
    </row>
    <row r="222" spans="1:9" ht="17.25" thickBot="1" x14ac:dyDescent="0.3">
      <c r="A222" s="293" t="s">
        <v>29</v>
      </c>
      <c r="B222" s="507"/>
      <c r="C222" s="505"/>
      <c r="D222" s="505"/>
      <c r="E222" s="505"/>
      <c r="F222" s="505"/>
      <c r="G222" s="505"/>
      <c r="H222" s="505"/>
      <c r="I222" s="506"/>
    </row>
    <row r="223" spans="1:9" ht="17.25" thickBot="1" x14ac:dyDescent="0.3">
      <c r="A223" s="79" t="s">
        <v>122</v>
      </c>
      <c r="B223" s="263">
        <v>1000</v>
      </c>
      <c r="C223" s="264">
        <f t="shared" ref="C223:C234" si="69">B223/$N$1</f>
        <v>41.666666666666664</v>
      </c>
      <c r="D223" s="265">
        <f t="shared" ref="D223:E234" si="70">B223/10.65</f>
        <v>93.896713615023472</v>
      </c>
      <c r="E223" s="266">
        <f t="shared" si="70"/>
        <v>3.9123630672926444</v>
      </c>
      <c r="F223" s="263">
        <v>1000</v>
      </c>
      <c r="G223" s="267">
        <f t="shared" ref="G223:G234" si="71">F223/$N$1</f>
        <v>41.666666666666664</v>
      </c>
      <c r="H223" s="267">
        <f t="shared" ref="H223:I234" si="72">F223/10.65</f>
        <v>93.896713615023472</v>
      </c>
      <c r="I223" s="266">
        <f t="shared" si="72"/>
        <v>3.9123630672926444</v>
      </c>
    </row>
    <row r="224" spans="1:9" x14ac:dyDescent="0.25">
      <c r="A224" s="94" t="s">
        <v>124</v>
      </c>
      <c r="B224" s="280"/>
      <c r="C224" s="281">
        <f t="shared" si="69"/>
        <v>0</v>
      </c>
      <c r="D224" s="282">
        <f t="shared" si="70"/>
        <v>0</v>
      </c>
      <c r="E224" s="283">
        <f t="shared" si="70"/>
        <v>0</v>
      </c>
      <c r="F224" s="294"/>
      <c r="G224" s="285">
        <f t="shared" si="71"/>
        <v>0</v>
      </c>
      <c r="H224" s="285">
        <f t="shared" si="72"/>
        <v>0</v>
      </c>
      <c r="I224" s="283">
        <f t="shared" si="72"/>
        <v>0</v>
      </c>
    </row>
    <row r="225" spans="1:9" x14ac:dyDescent="0.25">
      <c r="A225" s="94" t="s">
        <v>126</v>
      </c>
      <c r="B225" s="268"/>
      <c r="C225" s="269">
        <f t="shared" si="69"/>
        <v>0</v>
      </c>
      <c r="D225" s="270">
        <f t="shared" si="70"/>
        <v>0</v>
      </c>
      <c r="E225" s="271">
        <f t="shared" si="70"/>
        <v>0</v>
      </c>
      <c r="F225" s="294"/>
      <c r="G225" s="285">
        <f t="shared" si="71"/>
        <v>0</v>
      </c>
      <c r="H225" s="285">
        <f t="shared" si="72"/>
        <v>0</v>
      </c>
      <c r="I225" s="283">
        <f t="shared" si="72"/>
        <v>0</v>
      </c>
    </row>
    <row r="226" spans="1:9" x14ac:dyDescent="0.25">
      <c r="A226" s="94" t="s">
        <v>128</v>
      </c>
      <c r="B226" s="268"/>
      <c r="C226" s="269">
        <f t="shared" si="69"/>
        <v>0</v>
      </c>
      <c r="D226" s="270">
        <f t="shared" si="70"/>
        <v>0</v>
      </c>
      <c r="E226" s="271">
        <f t="shared" si="70"/>
        <v>0</v>
      </c>
      <c r="F226" s="294"/>
      <c r="G226" s="285">
        <f t="shared" si="71"/>
        <v>0</v>
      </c>
      <c r="H226" s="285">
        <f t="shared" si="72"/>
        <v>0</v>
      </c>
      <c r="I226" s="283">
        <f t="shared" si="72"/>
        <v>0</v>
      </c>
    </row>
    <row r="227" spans="1:9" ht="17.25" thickBot="1" x14ac:dyDescent="0.3">
      <c r="A227" s="100" t="s">
        <v>129</v>
      </c>
      <c r="B227" s="274">
        <v>1000</v>
      </c>
      <c r="C227" s="275">
        <f t="shared" si="69"/>
        <v>41.666666666666664</v>
      </c>
      <c r="D227" s="276">
        <f t="shared" si="70"/>
        <v>93.896713615023472</v>
      </c>
      <c r="E227" s="277">
        <f t="shared" si="70"/>
        <v>3.9123630672926444</v>
      </c>
      <c r="F227" s="295">
        <v>1000</v>
      </c>
      <c r="G227" s="296">
        <f t="shared" si="71"/>
        <v>41.666666666666664</v>
      </c>
      <c r="H227" s="296">
        <f t="shared" si="72"/>
        <v>93.896713615023472</v>
      </c>
      <c r="I227" s="297">
        <f t="shared" si="72"/>
        <v>3.9123630672926444</v>
      </c>
    </row>
    <row r="228" spans="1:9" ht="17.25" thickBot="1" x14ac:dyDescent="0.3">
      <c r="A228" s="108" t="s">
        <v>132</v>
      </c>
      <c r="B228" s="298">
        <v>1000</v>
      </c>
      <c r="C228" s="264">
        <f t="shared" si="69"/>
        <v>41.666666666666664</v>
      </c>
      <c r="D228" s="265">
        <f t="shared" si="70"/>
        <v>93.896713615023472</v>
      </c>
      <c r="E228" s="266">
        <f t="shared" si="70"/>
        <v>3.9123630672926444</v>
      </c>
      <c r="F228" s="263">
        <v>0</v>
      </c>
      <c r="G228" s="267">
        <f t="shared" si="71"/>
        <v>0</v>
      </c>
      <c r="H228" s="267">
        <f t="shared" si="72"/>
        <v>0</v>
      </c>
      <c r="I228" s="266">
        <f t="shared" si="72"/>
        <v>0</v>
      </c>
    </row>
    <row r="229" spans="1:9" x14ac:dyDescent="0.25">
      <c r="A229" s="86" t="s">
        <v>133</v>
      </c>
      <c r="B229" s="280"/>
      <c r="C229" s="281">
        <f t="shared" si="69"/>
        <v>0</v>
      </c>
      <c r="D229" s="282">
        <f t="shared" si="70"/>
        <v>0</v>
      </c>
      <c r="E229" s="283">
        <f t="shared" si="70"/>
        <v>0</v>
      </c>
      <c r="F229" s="299"/>
      <c r="G229" s="300">
        <f t="shared" si="71"/>
        <v>0</v>
      </c>
      <c r="H229" s="300">
        <f t="shared" si="72"/>
        <v>0</v>
      </c>
      <c r="I229" s="301">
        <f t="shared" si="72"/>
        <v>0</v>
      </c>
    </row>
    <row r="230" spans="1:9" x14ac:dyDescent="0.25">
      <c r="A230" s="94" t="s">
        <v>134</v>
      </c>
      <c r="B230" s="268">
        <v>0</v>
      </c>
      <c r="C230" s="269">
        <f t="shared" si="69"/>
        <v>0</v>
      </c>
      <c r="D230" s="270">
        <f t="shared" si="70"/>
        <v>0</v>
      </c>
      <c r="E230" s="271">
        <f t="shared" si="70"/>
        <v>0</v>
      </c>
      <c r="F230" s="294">
        <v>0</v>
      </c>
      <c r="G230" s="285">
        <f t="shared" si="71"/>
        <v>0</v>
      </c>
      <c r="H230" s="285">
        <f t="shared" si="72"/>
        <v>0</v>
      </c>
      <c r="I230" s="283">
        <f t="shared" si="72"/>
        <v>0</v>
      </c>
    </row>
    <row r="231" spans="1:9" x14ac:dyDescent="0.25">
      <c r="A231" s="94" t="s">
        <v>135</v>
      </c>
      <c r="B231" s="268">
        <v>1000</v>
      </c>
      <c r="C231" s="269">
        <f t="shared" si="69"/>
        <v>41.666666666666664</v>
      </c>
      <c r="D231" s="270">
        <f t="shared" si="70"/>
        <v>93.896713615023472</v>
      </c>
      <c r="E231" s="271">
        <f t="shared" si="70"/>
        <v>3.9123630672926444</v>
      </c>
      <c r="F231" s="294"/>
      <c r="G231" s="285">
        <f t="shared" si="71"/>
        <v>0</v>
      </c>
      <c r="H231" s="285">
        <f t="shared" si="72"/>
        <v>0</v>
      </c>
      <c r="I231" s="283">
        <f t="shared" si="72"/>
        <v>0</v>
      </c>
    </row>
    <row r="232" spans="1:9" x14ac:dyDescent="0.25">
      <c r="A232" s="94" t="s">
        <v>136</v>
      </c>
      <c r="B232" s="268"/>
      <c r="C232" s="269">
        <f t="shared" si="69"/>
        <v>0</v>
      </c>
      <c r="D232" s="270">
        <f t="shared" si="70"/>
        <v>0</v>
      </c>
      <c r="E232" s="271">
        <f t="shared" si="70"/>
        <v>0</v>
      </c>
      <c r="F232" s="294"/>
      <c r="G232" s="285">
        <f t="shared" si="71"/>
        <v>0</v>
      </c>
      <c r="H232" s="285">
        <f t="shared" si="72"/>
        <v>0</v>
      </c>
      <c r="I232" s="283">
        <f t="shared" si="72"/>
        <v>0</v>
      </c>
    </row>
    <row r="233" spans="1:9" x14ac:dyDescent="0.25">
      <c r="A233" s="94" t="s">
        <v>137</v>
      </c>
      <c r="B233" s="268"/>
      <c r="C233" s="269">
        <f t="shared" si="69"/>
        <v>0</v>
      </c>
      <c r="D233" s="270">
        <f t="shared" si="70"/>
        <v>0</v>
      </c>
      <c r="E233" s="271">
        <f t="shared" si="70"/>
        <v>0</v>
      </c>
      <c r="F233" s="294"/>
      <c r="G233" s="285">
        <f t="shared" si="71"/>
        <v>0</v>
      </c>
      <c r="H233" s="285">
        <f t="shared" si="72"/>
        <v>0</v>
      </c>
      <c r="I233" s="283">
        <f t="shared" si="72"/>
        <v>0</v>
      </c>
    </row>
    <row r="234" spans="1:9" ht="17.25" thickBot="1" x14ac:dyDescent="0.3">
      <c r="A234" s="119" t="s">
        <v>139</v>
      </c>
      <c r="B234" s="286"/>
      <c r="C234" s="287">
        <f t="shared" si="69"/>
        <v>0</v>
      </c>
      <c r="D234" s="288">
        <f t="shared" si="70"/>
        <v>0</v>
      </c>
      <c r="E234" s="289">
        <f t="shared" si="70"/>
        <v>0</v>
      </c>
      <c r="F234" s="295"/>
      <c r="G234" s="296">
        <f t="shared" si="71"/>
        <v>0</v>
      </c>
      <c r="H234" s="296">
        <f t="shared" si="72"/>
        <v>0</v>
      </c>
      <c r="I234" s="297">
        <f t="shared" si="72"/>
        <v>0</v>
      </c>
    </row>
    <row r="236" spans="1:9" x14ac:dyDescent="0.25">
      <c r="A236" s="4" t="s">
        <v>147</v>
      </c>
    </row>
    <row r="237" spans="1:9" x14ac:dyDescent="0.25">
      <c r="A237" s="4" t="s">
        <v>148</v>
      </c>
    </row>
    <row r="239" spans="1:9" x14ac:dyDescent="0.25">
      <c r="A239" s="4" t="s">
        <v>149</v>
      </c>
    </row>
    <row r="240" spans="1:9" x14ac:dyDescent="0.25">
      <c r="A240" s="4" t="s">
        <v>150</v>
      </c>
    </row>
    <row r="242" spans="1:3" x14ac:dyDescent="0.25">
      <c r="A242" s="4" t="s">
        <v>85</v>
      </c>
    </row>
    <row r="243" spans="1:3" x14ac:dyDescent="0.25">
      <c r="A243" s="4" t="s">
        <v>151</v>
      </c>
    </row>
    <row r="245" spans="1:3" x14ac:dyDescent="0.25">
      <c r="A245" s="4" t="s">
        <v>87</v>
      </c>
    </row>
    <row r="246" spans="1:3" x14ac:dyDescent="0.25">
      <c r="A246" s="4" t="s">
        <v>152</v>
      </c>
    </row>
    <row r="248" spans="1:3" ht="18" x14ac:dyDescent="0.25">
      <c r="A248" s="479" t="s">
        <v>226</v>
      </c>
      <c r="B248" s="479"/>
      <c r="C248"/>
    </row>
    <row r="249" spans="1:3" ht="33" x14ac:dyDescent="0.25">
      <c r="A249" s="384" t="s">
        <v>153</v>
      </c>
      <c r="B249" s="385" t="s">
        <v>227</v>
      </c>
      <c r="C249"/>
    </row>
    <row r="250" spans="1:3" x14ac:dyDescent="0.25">
      <c r="A250" s="386"/>
      <c r="B250" s="387" t="s">
        <v>2</v>
      </c>
      <c r="C250" s="69" t="s">
        <v>3</v>
      </c>
    </row>
    <row r="251" spans="1:3" x14ac:dyDescent="0.25">
      <c r="A251" s="388" t="s">
        <v>6</v>
      </c>
      <c r="B251" s="389">
        <v>618454.741713</v>
      </c>
      <c r="C251" s="22">
        <f t="shared" ref="C251:C256" si="73">B251/24</f>
        <v>25768.947571375</v>
      </c>
    </row>
    <row r="252" spans="1:3" x14ac:dyDescent="0.3">
      <c r="A252" s="388" t="s">
        <v>154</v>
      </c>
      <c r="B252" s="390">
        <v>163368.66989200001</v>
      </c>
      <c r="C252" s="22">
        <f t="shared" si="73"/>
        <v>6807.0279121666672</v>
      </c>
    </row>
    <row r="253" spans="1:3" x14ac:dyDescent="0.25">
      <c r="A253" s="391" t="s">
        <v>7</v>
      </c>
      <c r="B253" s="389">
        <f>B254+B255+B256</f>
        <v>696859.46737800119</v>
      </c>
      <c r="C253" s="22">
        <f t="shared" si="73"/>
        <v>29035.811140750051</v>
      </c>
    </row>
    <row r="254" spans="1:3" x14ac:dyDescent="0.3">
      <c r="A254" s="392" t="s">
        <v>155</v>
      </c>
      <c r="B254" s="390">
        <v>0</v>
      </c>
      <c r="C254" s="22">
        <f t="shared" si="73"/>
        <v>0</v>
      </c>
    </row>
    <row r="255" spans="1:3" x14ac:dyDescent="0.25">
      <c r="A255" s="392" t="s">
        <v>156</v>
      </c>
      <c r="B255" s="393">
        <v>548378.58886100119</v>
      </c>
      <c r="C255" s="22">
        <f t="shared" si="73"/>
        <v>22849.107869208383</v>
      </c>
    </row>
    <row r="256" spans="1:3" x14ac:dyDescent="0.25">
      <c r="A256" s="392" t="s">
        <v>157</v>
      </c>
      <c r="B256" s="393">
        <v>148480.878517</v>
      </c>
      <c r="C256" s="22">
        <f t="shared" si="73"/>
        <v>6186.7032715416672</v>
      </c>
    </row>
  </sheetData>
  <mergeCells count="30">
    <mergeCell ref="A77:A78"/>
    <mergeCell ref="B77:E77"/>
    <mergeCell ref="F77:I77"/>
    <mergeCell ref="A248:B248"/>
    <mergeCell ref="B92:I92"/>
    <mergeCell ref="B105:I105"/>
    <mergeCell ref="B118:I118"/>
    <mergeCell ref="B131:I131"/>
    <mergeCell ref="B144:I144"/>
    <mergeCell ref="B157:I157"/>
    <mergeCell ref="B170:I170"/>
    <mergeCell ref="B183:I183"/>
    <mergeCell ref="B196:I196"/>
    <mergeCell ref="B209:I209"/>
    <mergeCell ref="B222:I222"/>
    <mergeCell ref="B79:I79"/>
    <mergeCell ref="B62:E62"/>
    <mergeCell ref="F62:I62"/>
    <mergeCell ref="A2:I2"/>
    <mergeCell ref="B3:E3"/>
    <mergeCell ref="F3:I3"/>
    <mergeCell ref="A21:A22"/>
    <mergeCell ref="B21:E21"/>
    <mergeCell ref="F21:I21"/>
    <mergeCell ref="B23:E23"/>
    <mergeCell ref="F23:I23"/>
    <mergeCell ref="B36:E36"/>
    <mergeCell ref="F36:I36"/>
    <mergeCell ref="B49:E49"/>
    <mergeCell ref="F49:I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Footer>&amp;L&amp;P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O256"/>
  <sheetViews>
    <sheetView showGridLines="0" view="pageBreakPreview" zoomScale="110" zoomScaleNormal="100" zoomScaleSheetLayoutView="110" workbookViewId="0">
      <selection activeCell="G17" sqref="G17"/>
    </sheetView>
  </sheetViews>
  <sheetFormatPr defaultColWidth="9.140625" defaultRowHeight="16.5" x14ac:dyDescent="0.25"/>
  <cols>
    <col min="1" max="1" width="52.7109375" style="4" customWidth="1"/>
    <col min="2" max="2" width="15.85546875" style="4" customWidth="1"/>
    <col min="3" max="3" width="13.7109375" style="4" customWidth="1"/>
    <col min="4" max="5" width="14" style="4" customWidth="1"/>
    <col min="6" max="6" width="15.140625" style="4" customWidth="1"/>
    <col min="7" max="7" width="12.85546875" style="4" customWidth="1"/>
    <col min="8" max="8" width="11.85546875" style="4" customWidth="1"/>
    <col min="9" max="9" width="10.85546875" style="4" customWidth="1"/>
    <col min="10" max="10" width="38.42578125" style="4" hidden="1" customWidth="1"/>
    <col min="11" max="11" width="11.85546875" style="4" hidden="1" customWidth="1"/>
    <col min="12" max="12" width="0" style="4" hidden="1" customWidth="1"/>
    <col min="13" max="16384" width="9.140625" style="4"/>
  </cols>
  <sheetData>
    <row r="1" spans="1:15" ht="17.25" x14ac:dyDescent="0.25">
      <c r="A1" s="1" t="s">
        <v>1</v>
      </c>
      <c r="B1" s="1"/>
      <c r="C1" s="1"/>
      <c r="D1" s="2"/>
      <c r="E1" s="2"/>
      <c r="F1" s="2"/>
      <c r="G1" s="201">
        <f>G5-G6</f>
        <v>28291.738212634715</v>
      </c>
      <c r="H1" s="2"/>
      <c r="I1" s="3" t="s">
        <v>116</v>
      </c>
      <c r="N1" s="4">
        <v>24</v>
      </c>
      <c r="O1" s="4">
        <v>10.65</v>
      </c>
    </row>
    <row r="2" spans="1:15" s="2" customFormat="1" ht="29.25" customHeight="1" thickBot="1" x14ac:dyDescent="0.3">
      <c r="A2" s="479" t="s">
        <v>249</v>
      </c>
      <c r="B2" s="479"/>
      <c r="C2" s="479"/>
      <c r="D2" s="479"/>
      <c r="E2" s="479"/>
      <c r="F2" s="479"/>
      <c r="G2" s="479"/>
      <c r="H2" s="479"/>
      <c r="I2" s="479"/>
      <c r="J2" s="2" t="s">
        <v>117</v>
      </c>
    </row>
    <row r="3" spans="1:15" s="5" customFormat="1" ht="99" x14ac:dyDescent="0.25">
      <c r="A3" s="73" t="s">
        <v>118</v>
      </c>
      <c r="B3" s="480" t="s">
        <v>119</v>
      </c>
      <c r="C3" s="481"/>
      <c r="D3" s="481"/>
      <c r="E3" s="482"/>
      <c r="F3" s="483" t="s">
        <v>120</v>
      </c>
      <c r="G3" s="481"/>
      <c r="H3" s="481"/>
      <c r="I3" s="482"/>
      <c r="J3" s="5" t="s">
        <v>121</v>
      </c>
    </row>
    <row r="4" spans="1:15" ht="17.25" thickBot="1" x14ac:dyDescent="0.3">
      <c r="A4" s="74"/>
      <c r="B4" s="75" t="s">
        <v>2</v>
      </c>
      <c r="C4" s="76" t="s">
        <v>3</v>
      </c>
      <c r="D4" s="76" t="s">
        <v>4</v>
      </c>
      <c r="E4" s="77" t="s">
        <v>5</v>
      </c>
      <c r="F4" s="78" t="s">
        <v>2</v>
      </c>
      <c r="G4" s="76" t="s">
        <v>3</v>
      </c>
      <c r="H4" s="76" t="s">
        <v>4</v>
      </c>
      <c r="I4" s="77" t="s">
        <v>5</v>
      </c>
      <c r="K4" s="6"/>
    </row>
    <row r="5" spans="1:15" ht="17.25" thickBot="1" x14ac:dyDescent="0.3">
      <c r="A5" s="79" t="s">
        <v>122</v>
      </c>
      <c r="B5" s="80">
        <f>SUM(B6:B10)</f>
        <v>356856.57578800002</v>
      </c>
      <c r="C5" s="81">
        <f t="shared" ref="C5:C15" si="0">B5/24</f>
        <v>14869.023991166667</v>
      </c>
      <c r="D5" s="81">
        <f>B5/10.65</f>
        <v>33507.659698403753</v>
      </c>
      <c r="E5" s="82">
        <f>C5/10.65</f>
        <v>1396.1524874334898</v>
      </c>
      <c r="F5" s="83">
        <f>SUM(F6:F11)</f>
        <v>701467.36961939302</v>
      </c>
      <c r="G5" s="84">
        <f t="shared" ref="G5:G18" si="1">F5/$N$1</f>
        <v>29227.80706747471</v>
      </c>
      <c r="H5" s="84">
        <f>F5/10.65</f>
        <v>65865.480715435959</v>
      </c>
      <c r="I5" s="85">
        <f>G5/10.65</f>
        <v>2744.3950298098321</v>
      </c>
      <c r="K5" s="4">
        <v>376948.48574520025</v>
      </c>
    </row>
    <row r="6" spans="1:15" x14ac:dyDescent="0.25">
      <c r="A6" s="86" t="s">
        <v>123</v>
      </c>
      <c r="B6" s="87">
        <v>21268.200120000001</v>
      </c>
      <c r="C6" s="88">
        <f t="shared" si="0"/>
        <v>886.17500500000006</v>
      </c>
      <c r="D6" s="88">
        <f t="shared" ref="D6:E10" si="2">B6/10.65</f>
        <v>1997.014095774648</v>
      </c>
      <c r="E6" s="89">
        <f t="shared" si="2"/>
        <v>83.208920657276991</v>
      </c>
      <c r="F6" s="90">
        <v>22465.652516159895</v>
      </c>
      <c r="G6" s="91">
        <f t="shared" si="1"/>
        <v>936.06885483999565</v>
      </c>
      <c r="H6" s="91">
        <f t="shared" ref="H6:I11" si="3">F6/10.65</f>
        <v>2109.4509404844971</v>
      </c>
      <c r="I6" s="92">
        <f t="shared" si="3"/>
        <v>87.89378918685405</v>
      </c>
      <c r="K6" s="93">
        <f>B6/$B$5</f>
        <v>5.9598733953651263E-2</v>
      </c>
    </row>
    <row r="7" spans="1:15" x14ac:dyDescent="0.25">
      <c r="A7" s="94" t="s">
        <v>124</v>
      </c>
      <c r="B7" s="7">
        <v>20223.833793999998</v>
      </c>
      <c r="C7" s="8">
        <f t="shared" si="0"/>
        <v>842.65974141666663</v>
      </c>
      <c r="D7" s="8">
        <f t="shared" si="2"/>
        <v>1898.9515299530515</v>
      </c>
      <c r="E7" s="9">
        <f t="shared" si="2"/>
        <v>79.122980414710483</v>
      </c>
      <c r="F7" s="90">
        <v>21101.821776750101</v>
      </c>
      <c r="G7" s="95">
        <f t="shared" si="1"/>
        <v>879.24257403125421</v>
      </c>
      <c r="H7" s="95">
        <f t="shared" si="3"/>
        <v>1981.39171612677</v>
      </c>
      <c r="I7" s="96">
        <f t="shared" si="3"/>
        <v>82.55798817194875</v>
      </c>
      <c r="J7" s="4" t="s">
        <v>125</v>
      </c>
      <c r="K7" s="93">
        <f>B7/$B$5</f>
        <v>5.6672162336766065E-2</v>
      </c>
    </row>
    <row r="8" spans="1:15" x14ac:dyDescent="0.25">
      <c r="A8" s="94" t="s">
        <v>126</v>
      </c>
      <c r="B8" s="7">
        <v>240.25327100000001</v>
      </c>
      <c r="C8" s="8">
        <f t="shared" si="0"/>
        <v>10.010552958333333</v>
      </c>
      <c r="D8" s="8">
        <f t="shared" si="2"/>
        <v>22.558992582159625</v>
      </c>
      <c r="E8" s="9">
        <f t="shared" si="2"/>
        <v>0.93995802425665098</v>
      </c>
      <c r="F8" s="90">
        <v>75593.328000000009</v>
      </c>
      <c r="G8" s="95">
        <f t="shared" si="1"/>
        <v>3149.7220000000002</v>
      </c>
      <c r="H8" s="95">
        <f t="shared" si="3"/>
        <v>7097.965070422536</v>
      </c>
      <c r="I8" s="96">
        <f t="shared" si="3"/>
        <v>295.748544600939</v>
      </c>
      <c r="J8" s="4" t="s">
        <v>127</v>
      </c>
      <c r="K8" s="93">
        <f>B8/$B$5</f>
        <v>6.7324882684165178E-4</v>
      </c>
    </row>
    <row r="9" spans="1:15" x14ac:dyDescent="0.25">
      <c r="A9" s="396" t="s">
        <v>245</v>
      </c>
      <c r="B9" s="10">
        <v>0</v>
      </c>
      <c r="C9" s="11">
        <f t="shared" si="0"/>
        <v>0</v>
      </c>
      <c r="D9" s="11">
        <f t="shared" si="2"/>
        <v>0</v>
      </c>
      <c r="E9" s="97">
        <f t="shared" si="2"/>
        <v>0</v>
      </c>
      <c r="F9" s="90">
        <f>9760*24</f>
        <v>234240</v>
      </c>
      <c r="G9" s="98">
        <f t="shared" si="1"/>
        <v>9760</v>
      </c>
      <c r="H9" s="98">
        <f t="shared" si="3"/>
        <v>21994.366197183099</v>
      </c>
      <c r="I9" s="99">
        <f t="shared" si="3"/>
        <v>916.43192488262912</v>
      </c>
      <c r="K9" s="93">
        <f>B9/$B$5</f>
        <v>0</v>
      </c>
    </row>
    <row r="10" spans="1:15" x14ac:dyDescent="0.25">
      <c r="A10" s="100" t="s">
        <v>129</v>
      </c>
      <c r="B10" s="10">
        <v>315124.28860299999</v>
      </c>
      <c r="C10" s="11">
        <f t="shared" si="0"/>
        <v>13130.178691791667</v>
      </c>
      <c r="D10" s="11">
        <f t="shared" si="2"/>
        <v>29589.135080093896</v>
      </c>
      <c r="E10" s="97">
        <f t="shared" si="2"/>
        <v>1232.8806283372458</v>
      </c>
      <c r="F10" s="90">
        <f>332866.567326483-16600</f>
        <v>316266.56732648303</v>
      </c>
      <c r="G10" s="98">
        <f t="shared" si="1"/>
        <v>13177.773638603459</v>
      </c>
      <c r="H10" s="98">
        <f t="shared" si="3"/>
        <v>29696.391298261315</v>
      </c>
      <c r="I10" s="99">
        <f t="shared" si="3"/>
        <v>1237.3496374275549</v>
      </c>
      <c r="J10" s="4" t="s">
        <v>130</v>
      </c>
      <c r="K10" s="93">
        <f>B10/$B$5</f>
        <v>0.88305585488274096</v>
      </c>
    </row>
    <row r="11" spans="1:15" ht="17.25" thickBot="1" x14ac:dyDescent="0.3">
      <c r="A11" s="101" t="s">
        <v>244</v>
      </c>
      <c r="B11" s="102"/>
      <c r="C11" s="103"/>
      <c r="D11" s="103"/>
      <c r="E11" s="104"/>
      <c r="F11" s="105">
        <f>1325*24</f>
        <v>31800</v>
      </c>
      <c r="G11" s="106">
        <f t="shared" si="1"/>
        <v>1325</v>
      </c>
      <c r="H11" s="106">
        <f t="shared" si="3"/>
        <v>2985.9154929577462</v>
      </c>
      <c r="I11" s="107">
        <f t="shared" si="3"/>
        <v>124.4131455399061</v>
      </c>
      <c r="K11" s="93"/>
    </row>
    <row r="12" spans="1:15" s="13" customFormat="1" ht="17.25" thickBot="1" x14ac:dyDescent="0.3">
      <c r="A12" s="108" t="s">
        <v>132</v>
      </c>
      <c r="B12" s="80">
        <f>SUM(B13:B17)</f>
        <v>358051.94843899994</v>
      </c>
      <c r="C12" s="81">
        <f t="shared" si="0"/>
        <v>14918.831184958332</v>
      </c>
      <c r="D12" s="81">
        <f>B12/10.65</f>
        <v>33619.901261877931</v>
      </c>
      <c r="E12" s="82">
        <f>C12/10.65</f>
        <v>1400.8292192449137</v>
      </c>
      <c r="F12" s="109">
        <f>SUM(F13:F18)</f>
        <v>817538.48790156981</v>
      </c>
      <c r="G12" s="110">
        <f t="shared" si="1"/>
        <v>34064.103662565409</v>
      </c>
      <c r="H12" s="110">
        <f>F12/10.65</f>
        <v>76764.177267753024</v>
      </c>
      <c r="I12" s="111">
        <f>G12/10.65</f>
        <v>3198.5073861563765</v>
      </c>
      <c r="K12" s="112">
        <v>378401.87002456019</v>
      </c>
    </row>
    <row r="13" spans="1:15" s="13" customFormat="1" x14ac:dyDescent="0.25">
      <c r="A13" s="86" t="s">
        <v>133</v>
      </c>
      <c r="B13" s="87">
        <v>125550.84508500001</v>
      </c>
      <c r="C13" s="88">
        <f t="shared" si="0"/>
        <v>5231.2852118750006</v>
      </c>
      <c r="D13" s="88">
        <f t="shared" ref="D13:E18" si="4">B13/10.65</f>
        <v>11788.811745070423</v>
      </c>
      <c r="E13" s="89">
        <f t="shared" si="4"/>
        <v>491.20048937793433</v>
      </c>
      <c r="F13" s="113">
        <f>130154.463796421-16600</f>
        <v>113554.463796421</v>
      </c>
      <c r="G13" s="114">
        <f t="shared" si="1"/>
        <v>4731.4359915175419</v>
      </c>
      <c r="H13" s="114">
        <f t="shared" ref="H13:I18" si="5">F13/10.65</f>
        <v>10662.390966800092</v>
      </c>
      <c r="I13" s="115">
        <f t="shared" si="5"/>
        <v>444.26629028333724</v>
      </c>
      <c r="J13" s="4" t="s">
        <v>130</v>
      </c>
      <c r="K13" s="116">
        <v>0.35064980272377899</v>
      </c>
    </row>
    <row r="14" spans="1:15" s="13" customFormat="1" x14ac:dyDescent="0.25">
      <c r="A14" s="94" t="s">
        <v>134</v>
      </c>
      <c r="B14" s="7">
        <v>190818.23072699999</v>
      </c>
      <c r="C14" s="8">
        <f t="shared" si="0"/>
        <v>7950.7596136249995</v>
      </c>
      <c r="D14" s="8">
        <f t="shared" si="4"/>
        <v>17917.204763098591</v>
      </c>
      <c r="E14" s="9">
        <f t="shared" si="4"/>
        <v>746.55019846244124</v>
      </c>
      <c r="F14" s="117">
        <f>B255</f>
        <v>548378.58886100119</v>
      </c>
      <c r="G14" s="95">
        <f t="shared" si="1"/>
        <v>22849.107869208383</v>
      </c>
      <c r="H14" s="95">
        <f t="shared" si="5"/>
        <v>51490.94731089213</v>
      </c>
      <c r="I14" s="96">
        <f t="shared" si="5"/>
        <v>2145.4561379538386</v>
      </c>
      <c r="K14" s="116">
        <v>0.53293448495088702</v>
      </c>
    </row>
    <row r="15" spans="1:15" s="13" customFormat="1" x14ac:dyDescent="0.25">
      <c r="A15" s="94" t="s">
        <v>135</v>
      </c>
      <c r="B15" s="7">
        <v>41682.872626999997</v>
      </c>
      <c r="C15" s="8">
        <f t="shared" si="0"/>
        <v>1736.7863594583332</v>
      </c>
      <c r="D15" s="8">
        <f t="shared" si="4"/>
        <v>3913.8847537089196</v>
      </c>
      <c r="E15" s="9">
        <f t="shared" si="4"/>
        <v>163.07853140453832</v>
      </c>
      <c r="F15" s="117">
        <v>44051.923244147692</v>
      </c>
      <c r="G15" s="95">
        <f t="shared" si="1"/>
        <v>1835.4968018394873</v>
      </c>
      <c r="H15" s="95">
        <f t="shared" si="5"/>
        <v>4136.3308210467312</v>
      </c>
      <c r="I15" s="96">
        <f t="shared" si="5"/>
        <v>172.34711754361382</v>
      </c>
      <c r="K15" s="116">
        <v>0.11641571232533417</v>
      </c>
    </row>
    <row r="16" spans="1:15" s="13" customFormat="1" x14ac:dyDescent="0.25">
      <c r="A16" s="94" t="s">
        <v>136</v>
      </c>
      <c r="B16" s="7"/>
      <c r="C16" s="8"/>
      <c r="D16" s="8">
        <f t="shared" si="4"/>
        <v>0</v>
      </c>
      <c r="E16" s="9">
        <f t="shared" si="4"/>
        <v>0</v>
      </c>
      <c r="F16" s="117">
        <v>0</v>
      </c>
      <c r="G16" s="95">
        <f t="shared" si="1"/>
        <v>0</v>
      </c>
      <c r="H16" s="95">
        <f t="shared" si="5"/>
        <v>0</v>
      </c>
      <c r="I16" s="96">
        <f t="shared" si="5"/>
        <v>0</v>
      </c>
      <c r="K16" s="116">
        <v>0</v>
      </c>
    </row>
    <row r="17" spans="1:11" s="13" customFormat="1" ht="17.25" thickBot="1" x14ac:dyDescent="0.3">
      <c r="A17" s="94" t="s">
        <v>137</v>
      </c>
      <c r="B17" s="7"/>
      <c r="C17" s="8"/>
      <c r="D17" s="8">
        <f t="shared" si="4"/>
        <v>0</v>
      </c>
      <c r="E17" s="9">
        <f t="shared" si="4"/>
        <v>0</v>
      </c>
      <c r="F17" s="87">
        <v>111553.512</v>
      </c>
      <c r="G17" s="95">
        <f t="shared" si="1"/>
        <v>4648.0630000000001</v>
      </c>
      <c r="H17" s="95">
        <f t="shared" si="5"/>
        <v>10474.508169014085</v>
      </c>
      <c r="I17" s="96">
        <f t="shared" si="5"/>
        <v>436.43784037558686</v>
      </c>
      <c r="J17" s="4" t="s">
        <v>138</v>
      </c>
      <c r="K17" s="116">
        <v>0</v>
      </c>
    </row>
    <row r="18" spans="1:11" s="13" customFormat="1" ht="17.25" thickBot="1" x14ac:dyDescent="0.3">
      <c r="A18" s="119" t="s">
        <v>139</v>
      </c>
      <c r="B18" s="12"/>
      <c r="C18" s="120"/>
      <c r="D18" s="120">
        <v>0</v>
      </c>
      <c r="E18" s="121">
        <f t="shared" si="4"/>
        <v>0</v>
      </c>
      <c r="F18" s="122">
        <v>0</v>
      </c>
      <c r="G18" s="123">
        <f t="shared" si="1"/>
        <v>0</v>
      </c>
      <c r="H18" s="123">
        <f t="shared" si="5"/>
        <v>0</v>
      </c>
      <c r="I18" s="124">
        <f t="shared" si="5"/>
        <v>0</v>
      </c>
      <c r="J18" s="83">
        <v>376948.48574520025</v>
      </c>
      <c r="K18" s="116">
        <v>0</v>
      </c>
    </row>
    <row r="19" spans="1:11" s="13" customFormat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25">
        <f>SUM(F6:F10)</f>
        <v>669667.36961939302</v>
      </c>
    </row>
    <row r="20" spans="1:11" ht="15" customHeight="1" thickBot="1" x14ac:dyDescent="0.3">
      <c r="A20" s="2"/>
      <c r="B20" s="2"/>
      <c r="C20" s="2"/>
      <c r="E20" s="16"/>
      <c r="F20" s="16"/>
      <c r="G20" s="16"/>
      <c r="H20" s="16"/>
      <c r="I20" s="16"/>
      <c r="J20" s="126">
        <f>J18-J19</f>
        <v>-292718.88387419278</v>
      </c>
    </row>
    <row r="21" spans="1:11" ht="18.75" customHeight="1" x14ac:dyDescent="0.25">
      <c r="A21" s="484" t="s">
        <v>8</v>
      </c>
      <c r="B21" s="486" t="s">
        <v>140</v>
      </c>
      <c r="C21" s="487"/>
      <c r="D21" s="487"/>
      <c r="E21" s="488"/>
      <c r="F21" s="489" t="s">
        <v>141</v>
      </c>
      <c r="G21" s="487"/>
      <c r="H21" s="487"/>
      <c r="I21" s="488"/>
    </row>
    <row r="22" spans="1:11" x14ac:dyDescent="0.25">
      <c r="A22" s="485"/>
      <c r="B22" s="68" t="s">
        <v>2</v>
      </c>
      <c r="C22" s="69" t="s">
        <v>3</v>
      </c>
      <c r="D22" s="69" t="s">
        <v>4</v>
      </c>
      <c r="E22" s="70" t="s">
        <v>5</v>
      </c>
      <c r="F22" s="127" t="s">
        <v>2</v>
      </c>
      <c r="G22" s="69" t="s">
        <v>3</v>
      </c>
      <c r="H22" s="69" t="s">
        <v>4</v>
      </c>
      <c r="I22" s="70" t="s">
        <v>5</v>
      </c>
    </row>
    <row r="23" spans="1:11" ht="17.25" customHeight="1" thickBot="1" x14ac:dyDescent="0.3">
      <c r="A23" s="128" t="s">
        <v>9</v>
      </c>
      <c r="B23" s="490" t="s">
        <v>10</v>
      </c>
      <c r="C23" s="491"/>
      <c r="D23" s="491"/>
      <c r="E23" s="492"/>
      <c r="F23" s="493" t="s">
        <v>142</v>
      </c>
      <c r="G23" s="491"/>
      <c r="H23" s="491"/>
      <c r="I23" s="492"/>
    </row>
    <row r="24" spans="1:11" ht="17.25" thickBot="1" x14ac:dyDescent="0.3">
      <c r="A24" s="79" t="s">
        <v>122</v>
      </c>
      <c r="B24" s="129">
        <f>SUM(B25:B29)</f>
        <v>61635.472996000004</v>
      </c>
      <c r="C24" s="130">
        <f t="shared" ref="C24:C35" si="6">B24/$N$1</f>
        <v>2568.144708166667</v>
      </c>
      <c r="D24" s="131">
        <f t="shared" ref="D24:E61" si="7">B24/10.65</f>
        <v>5787.3683564319253</v>
      </c>
      <c r="E24" s="132">
        <f t="shared" si="7"/>
        <v>241.14034818466357</v>
      </c>
      <c r="F24" s="133">
        <f>SUM(F25:F29)</f>
        <v>78851.827726970019</v>
      </c>
      <c r="G24" s="134">
        <f t="shared" ref="G24:G35" si="8">F24/$N$1</f>
        <v>3285.4928219570843</v>
      </c>
      <c r="H24" s="134">
        <f>F24/10.65</f>
        <v>7403.9274861004715</v>
      </c>
      <c r="I24" s="135">
        <f>G24/10.65</f>
        <v>308.49697858751966</v>
      </c>
    </row>
    <row r="25" spans="1:11" x14ac:dyDescent="0.25">
      <c r="A25" s="86" t="s">
        <v>123</v>
      </c>
      <c r="B25" s="136">
        <v>301.952</v>
      </c>
      <c r="C25" s="137">
        <f t="shared" si="6"/>
        <v>12.581333333333333</v>
      </c>
      <c r="D25" s="138">
        <f t="shared" si="7"/>
        <v>28.352300469483566</v>
      </c>
      <c r="E25" s="139">
        <f t="shared" si="7"/>
        <v>1.1813458528951486</v>
      </c>
      <c r="F25" s="140">
        <v>304.97152000494799</v>
      </c>
      <c r="G25" s="141">
        <f t="shared" si="8"/>
        <v>12.707146666872832</v>
      </c>
      <c r="H25" s="141">
        <f t="shared" ref="H25:I29" si="9">F25/10.65</f>
        <v>28.635823474643004</v>
      </c>
      <c r="I25" s="142">
        <f t="shared" si="9"/>
        <v>1.1931593114434584</v>
      </c>
      <c r="K25" s="93">
        <f>B25/$B$24</f>
        <v>4.8989970437899608E-3</v>
      </c>
    </row>
    <row r="26" spans="1:11" x14ac:dyDescent="0.25">
      <c r="A26" s="94" t="s">
        <v>124</v>
      </c>
      <c r="B26" s="143">
        <v>6885</v>
      </c>
      <c r="C26" s="144">
        <f t="shared" si="6"/>
        <v>286.875</v>
      </c>
      <c r="D26" s="145">
        <f t="shared" si="7"/>
        <v>646.47887323943655</v>
      </c>
      <c r="E26" s="20">
        <f t="shared" si="7"/>
        <v>26.93661971830986</v>
      </c>
      <c r="F26" s="140">
        <f>6953.85000011282+16600</f>
        <v>23553.85000011282</v>
      </c>
      <c r="G26" s="146">
        <f t="shared" si="8"/>
        <v>981.41041667136744</v>
      </c>
      <c r="H26" s="146">
        <f t="shared" si="9"/>
        <v>2211.6291079918142</v>
      </c>
      <c r="I26" s="147">
        <f t="shared" si="9"/>
        <v>92.151212832992243</v>
      </c>
      <c r="J26" s="4" t="s">
        <v>143</v>
      </c>
      <c r="K26" s="93">
        <f>B26/$B$24</f>
        <v>0.11170515395325709</v>
      </c>
    </row>
    <row r="27" spans="1:11" x14ac:dyDescent="0.25">
      <c r="A27" s="94" t="s">
        <v>126</v>
      </c>
      <c r="B27" s="143">
        <v>0</v>
      </c>
      <c r="C27" s="144">
        <f t="shared" si="6"/>
        <v>0</v>
      </c>
      <c r="D27" s="145">
        <f t="shared" si="7"/>
        <v>0</v>
      </c>
      <c r="E27" s="20">
        <f t="shared" si="7"/>
        <v>0</v>
      </c>
      <c r="F27" s="140">
        <v>0</v>
      </c>
      <c r="G27" s="146">
        <f t="shared" si="8"/>
        <v>0</v>
      </c>
      <c r="H27" s="146">
        <f t="shared" si="9"/>
        <v>0</v>
      </c>
      <c r="I27" s="147">
        <f t="shared" si="9"/>
        <v>0</v>
      </c>
      <c r="K27" s="93">
        <f>B27/$B$24</f>
        <v>0</v>
      </c>
    </row>
    <row r="28" spans="1:11" x14ac:dyDescent="0.25">
      <c r="A28" s="94" t="s">
        <v>128</v>
      </c>
      <c r="B28" s="143">
        <v>1</v>
      </c>
      <c r="C28" s="144">
        <f t="shared" si="6"/>
        <v>4.1666666666666664E-2</v>
      </c>
      <c r="D28" s="145">
        <f t="shared" si="7"/>
        <v>9.3896713615023469E-2</v>
      </c>
      <c r="E28" s="20">
        <f t="shared" si="7"/>
        <v>3.912363067292644E-3</v>
      </c>
      <c r="F28" s="140">
        <v>1.0100000000163867</v>
      </c>
      <c r="G28" s="146">
        <f t="shared" si="8"/>
        <v>4.2083333334016114E-2</v>
      </c>
      <c r="H28" s="146">
        <f t="shared" si="9"/>
        <v>9.4835680752712356E-2</v>
      </c>
      <c r="I28" s="147">
        <f t="shared" si="9"/>
        <v>3.9514866980296815E-3</v>
      </c>
      <c r="K28" s="93">
        <f>B28/$B$24</f>
        <v>1.6224423232136104E-5</v>
      </c>
    </row>
    <row r="29" spans="1:11" ht="17.25" thickBot="1" x14ac:dyDescent="0.3">
      <c r="A29" s="100" t="s">
        <v>129</v>
      </c>
      <c r="B29" s="148">
        <v>54447.520996000007</v>
      </c>
      <c r="C29" s="149">
        <f t="shared" si="6"/>
        <v>2268.6467081666669</v>
      </c>
      <c r="D29" s="150">
        <f t="shared" si="7"/>
        <v>5112.4432860093902</v>
      </c>
      <c r="E29" s="151">
        <f t="shared" si="7"/>
        <v>213.01847025039126</v>
      </c>
      <c r="F29" s="140">
        <v>54991.996206852229</v>
      </c>
      <c r="G29" s="152">
        <f t="shared" si="8"/>
        <v>2291.3331752855097</v>
      </c>
      <c r="H29" s="152">
        <f t="shared" si="9"/>
        <v>5163.5677189532607</v>
      </c>
      <c r="I29" s="153">
        <f t="shared" si="9"/>
        <v>215.14865495638588</v>
      </c>
      <c r="K29" s="93">
        <f>B29/$B$24</f>
        <v>0.88337962457972086</v>
      </c>
    </row>
    <row r="30" spans="1:11" s="17" customFormat="1" ht="17.25" thickBot="1" x14ac:dyDescent="0.3">
      <c r="A30" s="108" t="s">
        <v>132</v>
      </c>
      <c r="B30" s="154">
        <f>SUM(B31:B35)</f>
        <v>65719.606039999984</v>
      </c>
      <c r="C30" s="130">
        <f t="shared" si="6"/>
        <v>2738.3169183333325</v>
      </c>
      <c r="D30" s="131">
        <f t="shared" si="7"/>
        <v>6170.8550272300454</v>
      </c>
      <c r="E30" s="132">
        <f t="shared" si="7"/>
        <v>257.11895946791856</v>
      </c>
      <c r="F30" s="155">
        <f>SUM(F31:F35)</f>
        <v>25970.258636583312</v>
      </c>
      <c r="G30" s="156">
        <f t="shared" si="8"/>
        <v>1082.0941098576379</v>
      </c>
      <c r="H30" s="156">
        <f>F30/10.65</f>
        <v>2438.5219377073531</v>
      </c>
      <c r="I30" s="157">
        <f>G30/10.65</f>
        <v>101.60508073780638</v>
      </c>
    </row>
    <row r="31" spans="1:11" x14ac:dyDescent="0.25">
      <c r="A31" s="86" t="s">
        <v>133</v>
      </c>
      <c r="B31" s="158">
        <v>9200.4859649999999</v>
      </c>
      <c r="C31" s="137">
        <f t="shared" si="6"/>
        <v>383.35358187499997</v>
      </c>
      <c r="D31" s="159">
        <f t="shared" si="7"/>
        <v>863.8953957746478</v>
      </c>
      <c r="E31" s="160">
        <f t="shared" si="7"/>
        <v>35.995641490610325</v>
      </c>
      <c r="F31" s="140">
        <f>9370.25863658331+16600</f>
        <v>25970.258636583312</v>
      </c>
      <c r="G31" s="141">
        <f t="shared" si="8"/>
        <v>1082.0941098576379</v>
      </c>
      <c r="H31" s="141">
        <f t="shared" ref="H31:I35" si="10">F31/10.65</f>
        <v>2438.5219377073531</v>
      </c>
      <c r="I31" s="142">
        <f t="shared" si="10"/>
        <v>101.60508073780638</v>
      </c>
      <c r="J31" s="4" t="s">
        <v>143</v>
      </c>
      <c r="K31" s="93">
        <f>B31/$B$30</f>
        <v>0.13999606083152963</v>
      </c>
    </row>
    <row r="32" spans="1:11" x14ac:dyDescent="0.25">
      <c r="A32" s="94" t="s">
        <v>134</v>
      </c>
      <c r="B32" s="161">
        <v>56519.120074999984</v>
      </c>
      <c r="C32" s="162">
        <f t="shared" si="6"/>
        <v>2354.9633364583328</v>
      </c>
      <c r="D32" s="163">
        <f t="shared" si="7"/>
        <v>5306.9596314553974</v>
      </c>
      <c r="E32" s="164">
        <f t="shared" si="7"/>
        <v>221.12331797730823</v>
      </c>
      <c r="F32" s="140"/>
      <c r="G32" s="146">
        <f t="shared" si="8"/>
        <v>0</v>
      </c>
      <c r="H32" s="146">
        <f t="shared" si="10"/>
        <v>0</v>
      </c>
      <c r="I32" s="147">
        <f t="shared" si="10"/>
        <v>0</v>
      </c>
      <c r="K32" s="93">
        <f>B32/$B$30</f>
        <v>0.8600039391684704</v>
      </c>
    </row>
    <row r="33" spans="1:11" x14ac:dyDescent="0.25">
      <c r="A33" s="94" t="s">
        <v>136</v>
      </c>
      <c r="B33" s="161">
        <v>0</v>
      </c>
      <c r="C33" s="162">
        <f t="shared" si="6"/>
        <v>0</v>
      </c>
      <c r="D33" s="163">
        <f t="shared" si="7"/>
        <v>0</v>
      </c>
      <c r="E33" s="164">
        <f t="shared" si="7"/>
        <v>0</v>
      </c>
      <c r="F33" s="140">
        <v>0</v>
      </c>
      <c r="G33" s="146">
        <f t="shared" si="8"/>
        <v>0</v>
      </c>
      <c r="H33" s="146">
        <f t="shared" si="10"/>
        <v>0</v>
      </c>
      <c r="I33" s="147">
        <f t="shared" si="10"/>
        <v>0</v>
      </c>
      <c r="K33" s="93">
        <f>B33/$B$30</f>
        <v>0</v>
      </c>
    </row>
    <row r="34" spans="1:11" x14ac:dyDescent="0.25">
      <c r="A34" s="94" t="s">
        <v>137</v>
      </c>
      <c r="B34" s="161">
        <v>0</v>
      </c>
      <c r="C34" s="162">
        <f t="shared" si="6"/>
        <v>0</v>
      </c>
      <c r="D34" s="163">
        <f t="shared" si="7"/>
        <v>0</v>
      </c>
      <c r="E34" s="164">
        <f t="shared" si="7"/>
        <v>0</v>
      </c>
      <c r="F34" s="140">
        <v>0</v>
      </c>
      <c r="G34" s="146">
        <f t="shared" si="8"/>
        <v>0</v>
      </c>
      <c r="H34" s="146">
        <f t="shared" si="10"/>
        <v>0</v>
      </c>
      <c r="I34" s="147">
        <f t="shared" si="10"/>
        <v>0</v>
      </c>
      <c r="K34" s="93">
        <f>B34/$B$30</f>
        <v>0</v>
      </c>
    </row>
    <row r="35" spans="1:11" ht="17.25" thickBot="1" x14ac:dyDescent="0.3">
      <c r="A35" s="119" t="s">
        <v>139</v>
      </c>
      <c r="B35" s="165">
        <v>0</v>
      </c>
      <c r="C35" s="166">
        <f t="shared" si="6"/>
        <v>0</v>
      </c>
      <c r="D35" s="167">
        <f t="shared" si="7"/>
        <v>0</v>
      </c>
      <c r="E35" s="168">
        <f t="shared" si="7"/>
        <v>0</v>
      </c>
      <c r="F35" s="140">
        <v>0</v>
      </c>
      <c r="G35" s="146">
        <f t="shared" si="8"/>
        <v>0</v>
      </c>
      <c r="H35" s="146">
        <f t="shared" si="10"/>
        <v>0</v>
      </c>
      <c r="I35" s="147">
        <f t="shared" si="10"/>
        <v>0</v>
      </c>
      <c r="K35" s="93">
        <f>B35/$B$30</f>
        <v>0</v>
      </c>
    </row>
    <row r="36" spans="1:11" ht="17.25" thickBot="1" x14ac:dyDescent="0.3">
      <c r="A36" s="169" t="s">
        <v>11</v>
      </c>
      <c r="B36" s="476" t="s">
        <v>12</v>
      </c>
      <c r="C36" s="476"/>
      <c r="D36" s="476"/>
      <c r="E36" s="477"/>
      <c r="F36" s="476" t="s">
        <v>144</v>
      </c>
      <c r="G36" s="476"/>
      <c r="H36" s="476"/>
      <c r="I36" s="477"/>
    </row>
    <row r="37" spans="1:11" ht="17.25" thickBot="1" x14ac:dyDescent="0.3">
      <c r="A37" s="79" t="s">
        <v>122</v>
      </c>
      <c r="B37" s="129">
        <f>SUM(B38:B42)</f>
        <v>174392.24871800002</v>
      </c>
      <c r="C37" s="130">
        <f t="shared" ref="C37:C48" si="11">B37/$N$1</f>
        <v>7266.3436965833343</v>
      </c>
      <c r="D37" s="131">
        <f t="shared" si="7"/>
        <v>16374.859034553992</v>
      </c>
      <c r="E37" s="170">
        <f t="shared" si="7"/>
        <v>682.28579310641635</v>
      </c>
      <c r="F37" s="133">
        <f>SUM(F38:F42)</f>
        <v>117600</v>
      </c>
      <c r="G37" s="134">
        <f t="shared" ref="G37:G48" si="12">F37/$N$1</f>
        <v>4900</v>
      </c>
      <c r="H37" s="134">
        <f>F37/10.65</f>
        <v>11042.25352112676</v>
      </c>
      <c r="I37" s="135">
        <f>G37/10.65</f>
        <v>460.09389671361498</v>
      </c>
    </row>
    <row r="38" spans="1:11" x14ac:dyDescent="0.25">
      <c r="A38" s="86" t="s">
        <v>123</v>
      </c>
      <c r="B38" s="136">
        <v>48563.023110999995</v>
      </c>
      <c r="C38" s="137">
        <f t="shared" si="11"/>
        <v>2023.4592962916665</v>
      </c>
      <c r="D38" s="138">
        <f t="shared" si="7"/>
        <v>4559.9082733333325</v>
      </c>
      <c r="E38" s="171">
        <f t="shared" si="7"/>
        <v>189.99617805555553</v>
      </c>
      <c r="F38" s="140">
        <v>28125.477882577132</v>
      </c>
      <c r="G38" s="141">
        <f t="shared" si="12"/>
        <v>1171.8949117740472</v>
      </c>
      <c r="H38" s="141">
        <f t="shared" ref="H38:I42" si="13">F38/10.65</f>
        <v>2640.8899420260218</v>
      </c>
      <c r="I38" s="142">
        <f t="shared" si="13"/>
        <v>110.0370809177509</v>
      </c>
      <c r="K38" s="93">
        <f>B38/$B$37</f>
        <v>0.27847007804531815</v>
      </c>
    </row>
    <row r="39" spans="1:11" x14ac:dyDescent="0.25">
      <c r="A39" s="94" t="s">
        <v>124</v>
      </c>
      <c r="B39" s="143">
        <v>44285.887000000002</v>
      </c>
      <c r="C39" s="144">
        <f t="shared" si="11"/>
        <v>1845.2452916666668</v>
      </c>
      <c r="D39" s="145">
        <f t="shared" si="7"/>
        <v>4158.2992488262908</v>
      </c>
      <c r="E39" s="172">
        <f t="shared" si="7"/>
        <v>173.26246870109549</v>
      </c>
      <c r="F39" s="140">
        <f>25648.3566206709+16600</f>
        <v>42248.3566206709</v>
      </c>
      <c r="G39" s="146">
        <f t="shared" si="12"/>
        <v>1760.3481925279541</v>
      </c>
      <c r="H39" s="146">
        <f t="shared" si="13"/>
        <v>3966.9818423165161</v>
      </c>
      <c r="I39" s="147">
        <f t="shared" si="13"/>
        <v>165.29091009652151</v>
      </c>
      <c r="J39" s="4" t="s">
        <v>143</v>
      </c>
      <c r="K39" s="93">
        <f>B39/$B$37</f>
        <v>0.25394412495713753</v>
      </c>
    </row>
    <row r="40" spans="1:11" x14ac:dyDescent="0.25">
      <c r="A40" s="94" t="s">
        <v>126</v>
      </c>
      <c r="B40" s="143">
        <v>10208.769933</v>
      </c>
      <c r="C40" s="144">
        <f t="shared" si="11"/>
        <v>425.365413875</v>
      </c>
      <c r="D40" s="145">
        <f t="shared" si="7"/>
        <v>958.56994676056331</v>
      </c>
      <c r="E40" s="172">
        <f t="shared" si="7"/>
        <v>39.940414448356805</v>
      </c>
      <c r="F40" s="140">
        <v>5912.4517907920963</v>
      </c>
      <c r="G40" s="146">
        <f t="shared" si="12"/>
        <v>246.35215794967067</v>
      </c>
      <c r="H40" s="146">
        <f t="shared" si="13"/>
        <v>555.15979256263813</v>
      </c>
      <c r="I40" s="147">
        <f t="shared" si="13"/>
        <v>23.131658023443254</v>
      </c>
      <c r="K40" s="93">
        <f>B40/$B$37</f>
        <v>5.8539126641505908E-2</v>
      </c>
    </row>
    <row r="41" spans="1:11" x14ac:dyDescent="0.25">
      <c r="A41" s="94" t="s">
        <v>128</v>
      </c>
      <c r="B41" s="143">
        <v>0</v>
      </c>
      <c r="C41" s="144">
        <f t="shared" si="11"/>
        <v>0</v>
      </c>
      <c r="D41" s="145">
        <f t="shared" si="7"/>
        <v>0</v>
      </c>
      <c r="E41" s="172">
        <f t="shared" si="7"/>
        <v>0</v>
      </c>
      <c r="F41" s="140">
        <v>0</v>
      </c>
      <c r="G41" s="146">
        <f t="shared" si="12"/>
        <v>0</v>
      </c>
      <c r="H41" s="146">
        <f t="shared" si="13"/>
        <v>0</v>
      </c>
      <c r="I41" s="147">
        <f t="shared" si="13"/>
        <v>0</v>
      </c>
      <c r="K41" s="93">
        <f>B41/$B$37</f>
        <v>0</v>
      </c>
    </row>
    <row r="42" spans="1:11" ht="17.25" thickBot="1" x14ac:dyDescent="0.3">
      <c r="A42" s="100" t="s">
        <v>129</v>
      </c>
      <c r="B42" s="148">
        <v>71334.568673999995</v>
      </c>
      <c r="C42" s="149">
        <f t="shared" si="11"/>
        <v>2972.2736947499998</v>
      </c>
      <c r="D42" s="150">
        <f t="shared" si="7"/>
        <v>6698.0815656338018</v>
      </c>
      <c r="E42" s="173">
        <f t="shared" si="7"/>
        <v>279.08673190140843</v>
      </c>
      <c r="F42" s="140">
        <v>41313.713705959868</v>
      </c>
      <c r="G42" s="152">
        <f t="shared" si="12"/>
        <v>1721.4047377483278</v>
      </c>
      <c r="H42" s="152">
        <f t="shared" si="13"/>
        <v>3879.2219442215837</v>
      </c>
      <c r="I42" s="153">
        <f t="shared" si="13"/>
        <v>161.6342476758993</v>
      </c>
      <c r="K42" s="93">
        <f>B42/$B$37</f>
        <v>0.40904667035603831</v>
      </c>
    </row>
    <row r="43" spans="1:11" ht="17.25" thickBot="1" x14ac:dyDescent="0.3">
      <c r="A43" s="108" t="s">
        <v>132</v>
      </c>
      <c r="B43" s="154">
        <f>SUM(B44:B48)</f>
        <v>148888.96178899999</v>
      </c>
      <c r="C43" s="130">
        <f t="shared" si="11"/>
        <v>6203.7067412083334</v>
      </c>
      <c r="D43" s="131">
        <f t="shared" si="7"/>
        <v>13980.184205539905</v>
      </c>
      <c r="E43" s="132">
        <f t="shared" si="7"/>
        <v>582.50767523082936</v>
      </c>
      <c r="F43" s="155">
        <f>SUM(F44:F48)</f>
        <v>40463.593965075896</v>
      </c>
      <c r="G43" s="156">
        <f t="shared" si="12"/>
        <v>1685.9830818781622</v>
      </c>
      <c r="H43" s="156">
        <f>F43/10.65</f>
        <v>3799.3984943733235</v>
      </c>
      <c r="I43" s="157">
        <f>G43/10.65</f>
        <v>158.30827059888847</v>
      </c>
    </row>
    <row r="44" spans="1:11" x14ac:dyDescent="0.25">
      <c r="A44" s="86" t="s">
        <v>133</v>
      </c>
      <c r="B44" s="174">
        <v>29315.393812000002</v>
      </c>
      <c r="C44" s="137">
        <f t="shared" si="11"/>
        <v>1221.4747421666668</v>
      </c>
      <c r="D44" s="138">
        <f t="shared" si="7"/>
        <v>2752.6191372769954</v>
      </c>
      <c r="E44" s="139">
        <f t="shared" si="7"/>
        <v>114.69246405320816</v>
      </c>
      <c r="F44" s="140">
        <f>23863.5939650759+16600</f>
        <v>40463.593965075896</v>
      </c>
      <c r="G44" s="141">
        <f t="shared" si="12"/>
        <v>1685.9830818781622</v>
      </c>
      <c r="H44" s="141">
        <f t="shared" ref="H44:I48" si="14">F44/10.65</f>
        <v>3799.3984943733235</v>
      </c>
      <c r="I44" s="142">
        <f t="shared" si="14"/>
        <v>158.30827059888847</v>
      </c>
      <c r="J44" s="4" t="s">
        <v>143</v>
      </c>
      <c r="K44" s="93">
        <f>B44/$B$43</f>
        <v>0.19689433964584097</v>
      </c>
    </row>
    <row r="45" spans="1:11" x14ac:dyDescent="0.25">
      <c r="A45" s="94" t="s">
        <v>134</v>
      </c>
      <c r="B45" s="175">
        <v>119573.56797699998</v>
      </c>
      <c r="C45" s="144">
        <f t="shared" si="11"/>
        <v>4982.2319990416663</v>
      </c>
      <c r="D45" s="145">
        <f t="shared" si="7"/>
        <v>11227.565068262909</v>
      </c>
      <c r="E45" s="20">
        <f t="shared" si="7"/>
        <v>467.81521117762122</v>
      </c>
      <c r="F45" s="140"/>
      <c r="G45" s="146">
        <f t="shared" si="12"/>
        <v>0</v>
      </c>
      <c r="H45" s="146">
        <f t="shared" si="14"/>
        <v>0</v>
      </c>
      <c r="I45" s="147">
        <f t="shared" si="14"/>
        <v>0</v>
      </c>
      <c r="K45" s="93">
        <f>B45/$B$43</f>
        <v>0.80310566035415898</v>
      </c>
    </row>
    <row r="46" spans="1:11" x14ac:dyDescent="0.25">
      <c r="A46" s="94" t="s">
        <v>136</v>
      </c>
      <c r="B46" s="175">
        <v>0</v>
      </c>
      <c r="C46" s="144">
        <f t="shared" si="11"/>
        <v>0</v>
      </c>
      <c r="D46" s="145">
        <f t="shared" si="7"/>
        <v>0</v>
      </c>
      <c r="E46" s="20">
        <f t="shared" si="7"/>
        <v>0</v>
      </c>
      <c r="F46" s="140">
        <v>0</v>
      </c>
      <c r="G46" s="146">
        <f t="shared" si="12"/>
        <v>0</v>
      </c>
      <c r="H46" s="146">
        <f t="shared" si="14"/>
        <v>0</v>
      </c>
      <c r="I46" s="147">
        <f t="shared" si="14"/>
        <v>0</v>
      </c>
      <c r="K46" s="93">
        <f>B46/$B$43</f>
        <v>0</v>
      </c>
    </row>
    <row r="47" spans="1:11" x14ac:dyDescent="0.25">
      <c r="A47" s="94" t="s">
        <v>137</v>
      </c>
      <c r="B47" s="175">
        <v>0</v>
      </c>
      <c r="C47" s="144">
        <f t="shared" si="11"/>
        <v>0</v>
      </c>
      <c r="D47" s="145">
        <f t="shared" si="7"/>
        <v>0</v>
      </c>
      <c r="E47" s="20">
        <f t="shared" si="7"/>
        <v>0</v>
      </c>
      <c r="F47" s="140">
        <v>0</v>
      </c>
      <c r="G47" s="146">
        <f t="shared" si="12"/>
        <v>0</v>
      </c>
      <c r="H47" s="146">
        <f t="shared" si="14"/>
        <v>0</v>
      </c>
      <c r="I47" s="147">
        <f t="shared" si="14"/>
        <v>0</v>
      </c>
      <c r="K47" s="93">
        <f>B47/$B$43</f>
        <v>0</v>
      </c>
    </row>
    <row r="48" spans="1:11" ht="17.25" thickBot="1" x14ac:dyDescent="0.3">
      <c r="A48" s="100" t="s">
        <v>139</v>
      </c>
      <c r="B48" s="176">
        <v>0</v>
      </c>
      <c r="C48" s="149">
        <f t="shared" si="11"/>
        <v>0</v>
      </c>
      <c r="D48" s="150">
        <f t="shared" si="7"/>
        <v>0</v>
      </c>
      <c r="E48" s="151">
        <f t="shared" si="7"/>
        <v>0</v>
      </c>
      <c r="F48" s="140">
        <v>0</v>
      </c>
      <c r="G48" s="152">
        <f t="shared" si="12"/>
        <v>0</v>
      </c>
      <c r="H48" s="152">
        <f t="shared" si="14"/>
        <v>0</v>
      </c>
      <c r="I48" s="153">
        <f t="shared" si="14"/>
        <v>0</v>
      </c>
      <c r="K48" s="93">
        <f>B48/$B$43</f>
        <v>0</v>
      </c>
    </row>
    <row r="49" spans="1:11" ht="17.25" thickBot="1" x14ac:dyDescent="0.3">
      <c r="A49" s="177" t="s">
        <v>13</v>
      </c>
      <c r="B49" s="475" t="s">
        <v>14</v>
      </c>
      <c r="C49" s="476"/>
      <c r="D49" s="476"/>
      <c r="E49" s="477"/>
      <c r="F49" s="478" t="s">
        <v>145</v>
      </c>
      <c r="G49" s="476"/>
      <c r="H49" s="476"/>
      <c r="I49" s="477"/>
    </row>
    <row r="50" spans="1:11" ht="17.25" thickBot="1" x14ac:dyDescent="0.3">
      <c r="A50" s="79" t="s">
        <v>122</v>
      </c>
      <c r="B50" s="129">
        <f>SUM(B51:B54)</f>
        <v>0</v>
      </c>
      <c r="C50" s="130">
        <f>SUM(C51:C54)</f>
        <v>0</v>
      </c>
      <c r="D50" s="130">
        <f>SUM(D51:D54)</f>
        <v>0</v>
      </c>
      <c r="E50" s="178">
        <f>SUM(E51:E54)</f>
        <v>0</v>
      </c>
      <c r="F50" s="133">
        <v>1818</v>
      </c>
      <c r="G50" s="134">
        <f t="shared" ref="G50:G61" si="15">F50/$N$1</f>
        <v>75.75</v>
      </c>
      <c r="H50" s="134">
        <f>F50/10.65</f>
        <v>170.70422535211267</v>
      </c>
      <c r="I50" s="135">
        <f>G50/10.65</f>
        <v>7.112676056338028</v>
      </c>
    </row>
    <row r="51" spans="1:11" x14ac:dyDescent="0.25">
      <c r="A51" s="94" t="s">
        <v>124</v>
      </c>
      <c r="B51" s="143">
        <v>0</v>
      </c>
      <c r="C51" s="144">
        <f>B51/$N$1</f>
        <v>0</v>
      </c>
      <c r="D51" s="145">
        <f t="shared" si="7"/>
        <v>0</v>
      </c>
      <c r="E51" s="20">
        <f t="shared" si="7"/>
        <v>0</v>
      </c>
      <c r="F51" s="179">
        <v>0</v>
      </c>
      <c r="G51" s="146">
        <f t="shared" si="15"/>
        <v>0</v>
      </c>
      <c r="H51" s="146">
        <f>F51/10.65</f>
        <v>0</v>
      </c>
      <c r="I51" s="147">
        <f>G51/10.65</f>
        <v>0</v>
      </c>
      <c r="K51" s="4" t="e">
        <f>B51/B50</f>
        <v>#DIV/0!</v>
      </c>
    </row>
    <row r="52" spans="1:11" x14ac:dyDescent="0.25">
      <c r="A52" s="94" t="s">
        <v>126</v>
      </c>
      <c r="B52" s="143">
        <v>0</v>
      </c>
      <c r="C52" s="144">
        <f>B52/$N$1</f>
        <v>0</v>
      </c>
      <c r="D52" s="145">
        <f t="shared" si="7"/>
        <v>0</v>
      </c>
      <c r="E52" s="20">
        <f t="shared" si="7"/>
        <v>0</v>
      </c>
      <c r="F52" s="179">
        <v>0</v>
      </c>
      <c r="G52" s="146">
        <f t="shared" si="15"/>
        <v>0</v>
      </c>
      <c r="H52" s="146">
        <f t="shared" ref="H52:I54" si="16">F52/10.65</f>
        <v>0</v>
      </c>
      <c r="I52" s="147">
        <f t="shared" si="16"/>
        <v>0</v>
      </c>
    </row>
    <row r="53" spans="1:11" x14ac:dyDescent="0.25">
      <c r="A53" s="94" t="s">
        <v>128</v>
      </c>
      <c r="B53" s="143">
        <v>0</v>
      </c>
      <c r="C53" s="144">
        <f>B53/$N$1</f>
        <v>0</v>
      </c>
      <c r="D53" s="145">
        <f t="shared" si="7"/>
        <v>0</v>
      </c>
      <c r="E53" s="20">
        <f t="shared" si="7"/>
        <v>0</v>
      </c>
      <c r="F53" s="179">
        <v>0</v>
      </c>
      <c r="G53" s="146">
        <f t="shared" si="15"/>
        <v>0</v>
      </c>
      <c r="H53" s="146">
        <f t="shared" si="16"/>
        <v>0</v>
      </c>
      <c r="I53" s="147">
        <f t="shared" si="16"/>
        <v>0</v>
      </c>
    </row>
    <row r="54" spans="1:11" ht="17.25" thickBot="1" x14ac:dyDescent="0.3">
      <c r="A54" s="100" t="s">
        <v>129</v>
      </c>
      <c r="B54" s="148">
        <v>0</v>
      </c>
      <c r="C54" s="149">
        <f>B54/$N$1</f>
        <v>0</v>
      </c>
      <c r="D54" s="150">
        <f t="shared" si="7"/>
        <v>0</v>
      </c>
      <c r="E54" s="151">
        <f t="shared" si="7"/>
        <v>0</v>
      </c>
      <c r="F54" s="180">
        <v>1818</v>
      </c>
      <c r="G54" s="152">
        <f t="shared" si="15"/>
        <v>75.75</v>
      </c>
      <c r="H54" s="152">
        <f t="shared" si="16"/>
        <v>170.70422535211267</v>
      </c>
      <c r="I54" s="153">
        <f t="shared" si="16"/>
        <v>7.112676056338028</v>
      </c>
    </row>
    <row r="55" spans="1:11" ht="17.25" thickBot="1" x14ac:dyDescent="0.3">
      <c r="A55" s="108" t="s">
        <v>132</v>
      </c>
      <c r="B55" s="154">
        <f>SUM(B56:B61)</f>
        <v>5064.4256399999995</v>
      </c>
      <c r="C55" s="181">
        <f>SUM(C56:C61)</f>
        <v>211.01773500000002</v>
      </c>
      <c r="D55" s="181">
        <f>SUM(D56:D61)</f>
        <v>475.53292394366196</v>
      </c>
      <c r="E55" s="182">
        <f>SUM(E56:E61)</f>
        <v>19.813871830985917</v>
      </c>
      <c r="F55" s="155">
        <f>SUM(F56:F61)</f>
        <v>1458.7018241371013</v>
      </c>
      <c r="G55" s="156">
        <f t="shared" si="15"/>
        <v>60.779242672379219</v>
      </c>
      <c r="H55" s="156">
        <f>F55/10.65</f>
        <v>136.96730743071373</v>
      </c>
      <c r="I55" s="157">
        <f>G55/10.65</f>
        <v>5.7069711429464052</v>
      </c>
      <c r="K55" s="183">
        <f>B56+B57</f>
        <v>2532.3483619999997</v>
      </c>
    </row>
    <row r="56" spans="1:11" x14ac:dyDescent="0.25">
      <c r="A56" s="86" t="s">
        <v>133</v>
      </c>
      <c r="B56" s="174">
        <v>2438.2449999999999</v>
      </c>
      <c r="C56" s="137">
        <f t="shared" ref="C56:C61" si="17">B56/$N$1</f>
        <v>101.59354166666667</v>
      </c>
      <c r="D56" s="138">
        <f t="shared" si="7"/>
        <v>228.94319248826289</v>
      </c>
      <c r="E56" s="139">
        <f t="shared" si="7"/>
        <v>9.5392996870109545</v>
      </c>
      <c r="F56" s="140">
        <v>1458.7018241371013</v>
      </c>
      <c r="G56" s="141">
        <f t="shared" si="15"/>
        <v>60.779242672379219</v>
      </c>
      <c r="H56" s="141">
        <f t="shared" ref="H56:I61" si="18">F56/10.65</f>
        <v>136.96730743071373</v>
      </c>
      <c r="I56" s="142">
        <f t="shared" si="18"/>
        <v>5.7069711429464052</v>
      </c>
      <c r="K56" s="93">
        <f>B56/$K$55</f>
        <v>0.96283948787927476</v>
      </c>
    </row>
    <row r="57" spans="1:11" x14ac:dyDescent="0.25">
      <c r="A57" s="94" t="s">
        <v>134</v>
      </c>
      <c r="B57" s="175">
        <v>94.103362000000004</v>
      </c>
      <c r="C57" s="144">
        <f t="shared" si="17"/>
        <v>3.920973416666667</v>
      </c>
      <c r="D57" s="145">
        <f t="shared" si="7"/>
        <v>8.8359964319248832</v>
      </c>
      <c r="E57" s="20">
        <f t="shared" si="7"/>
        <v>0.36816651799687011</v>
      </c>
      <c r="F57" s="140"/>
      <c r="G57" s="146">
        <f t="shared" si="15"/>
        <v>0</v>
      </c>
      <c r="H57" s="146">
        <f t="shared" si="18"/>
        <v>0</v>
      </c>
      <c r="I57" s="147">
        <f t="shared" si="18"/>
        <v>0</v>
      </c>
      <c r="K57" s="93">
        <f>B57/$K$55</f>
        <v>3.716051212072536E-2</v>
      </c>
    </row>
    <row r="58" spans="1:11" x14ac:dyDescent="0.25">
      <c r="A58" s="94" t="s">
        <v>135</v>
      </c>
      <c r="B58" s="175">
        <v>0</v>
      </c>
      <c r="C58" s="144">
        <f t="shared" si="17"/>
        <v>0</v>
      </c>
      <c r="D58" s="145">
        <f t="shared" si="7"/>
        <v>0</v>
      </c>
      <c r="E58" s="20">
        <f t="shared" si="7"/>
        <v>0</v>
      </c>
      <c r="F58" s="140">
        <v>0</v>
      </c>
      <c r="G58" s="146">
        <f t="shared" si="15"/>
        <v>0</v>
      </c>
      <c r="H58" s="146">
        <f t="shared" si="18"/>
        <v>0</v>
      </c>
      <c r="I58" s="147">
        <f t="shared" si="18"/>
        <v>0</v>
      </c>
      <c r="K58" s="93">
        <f>B58/$B$55</f>
        <v>0</v>
      </c>
    </row>
    <row r="59" spans="1:11" x14ac:dyDescent="0.25">
      <c r="A59" s="94" t="s">
        <v>136</v>
      </c>
      <c r="B59" s="175">
        <v>0</v>
      </c>
      <c r="C59" s="144">
        <f t="shared" si="17"/>
        <v>0</v>
      </c>
      <c r="D59" s="145">
        <f t="shared" si="7"/>
        <v>0</v>
      </c>
      <c r="E59" s="20">
        <f t="shared" si="7"/>
        <v>0</v>
      </c>
      <c r="F59" s="140">
        <v>0</v>
      </c>
      <c r="G59" s="146">
        <f t="shared" si="15"/>
        <v>0</v>
      </c>
      <c r="H59" s="146">
        <f t="shared" si="18"/>
        <v>0</v>
      </c>
      <c r="I59" s="147">
        <f t="shared" si="18"/>
        <v>0</v>
      </c>
      <c r="K59" s="93">
        <f>B59/$B$55</f>
        <v>0</v>
      </c>
    </row>
    <row r="60" spans="1:11" x14ac:dyDescent="0.25">
      <c r="A60" s="94" t="s">
        <v>137</v>
      </c>
      <c r="B60" s="175">
        <v>2532.0772780000002</v>
      </c>
      <c r="C60" s="144">
        <f t="shared" si="17"/>
        <v>105.50321991666668</v>
      </c>
      <c r="D60" s="145">
        <f t="shared" si="7"/>
        <v>237.75373502347418</v>
      </c>
      <c r="E60" s="20">
        <f t="shared" si="7"/>
        <v>9.9064056259780919</v>
      </c>
      <c r="F60" s="140">
        <v>0</v>
      </c>
      <c r="G60" s="146">
        <f t="shared" si="15"/>
        <v>0</v>
      </c>
      <c r="H60" s="146">
        <f t="shared" si="18"/>
        <v>0</v>
      </c>
      <c r="I60" s="147">
        <f t="shared" si="18"/>
        <v>0</v>
      </c>
      <c r="K60" s="93">
        <v>0</v>
      </c>
    </row>
    <row r="61" spans="1:11" ht="17.25" thickBot="1" x14ac:dyDescent="0.3">
      <c r="A61" s="100" t="s">
        <v>139</v>
      </c>
      <c r="B61" s="176">
        <v>0</v>
      </c>
      <c r="C61" s="149">
        <f t="shared" si="17"/>
        <v>0</v>
      </c>
      <c r="D61" s="150">
        <f t="shared" si="7"/>
        <v>0</v>
      </c>
      <c r="E61" s="151">
        <f t="shared" si="7"/>
        <v>0</v>
      </c>
      <c r="F61" s="140">
        <v>0</v>
      </c>
      <c r="G61" s="152">
        <f t="shared" si="15"/>
        <v>0</v>
      </c>
      <c r="H61" s="152">
        <f t="shared" si="18"/>
        <v>0</v>
      </c>
      <c r="I61" s="153">
        <f t="shared" si="18"/>
        <v>0</v>
      </c>
      <c r="K61" s="93">
        <f>B61/$B$55</f>
        <v>0</v>
      </c>
    </row>
    <row r="62" spans="1:11" ht="17.25" thickBot="1" x14ac:dyDescent="0.3">
      <c r="A62" s="177" t="s">
        <v>15</v>
      </c>
      <c r="B62" s="475" t="s">
        <v>16</v>
      </c>
      <c r="C62" s="476"/>
      <c r="D62" s="476"/>
      <c r="E62" s="477"/>
      <c r="F62" s="478" t="s">
        <v>146</v>
      </c>
      <c r="G62" s="476"/>
      <c r="H62" s="476"/>
      <c r="I62" s="477"/>
    </row>
    <row r="63" spans="1:11" ht="17.25" thickBot="1" x14ac:dyDescent="0.3">
      <c r="A63" s="79" t="s">
        <v>122</v>
      </c>
      <c r="B63" s="129">
        <f>SUM(B64:B67)</f>
        <v>0</v>
      </c>
      <c r="C63" s="130">
        <f>SUM(C64:C67)</f>
        <v>0</v>
      </c>
      <c r="D63" s="130">
        <f>SUM(D64:D67)</f>
        <v>0</v>
      </c>
      <c r="E63" s="178">
        <f>SUM(E64:E67)</f>
        <v>0</v>
      </c>
      <c r="F63" s="133">
        <v>1010</v>
      </c>
      <c r="G63" s="134">
        <f t="shared" ref="G63:G74" si="19">F63/$N$1</f>
        <v>42.083333333333336</v>
      </c>
      <c r="H63" s="134">
        <f>F63/10.65</f>
        <v>94.835680751173712</v>
      </c>
      <c r="I63" s="135">
        <f>G63/10.65</f>
        <v>3.9514866979655712</v>
      </c>
    </row>
    <row r="64" spans="1:11" x14ac:dyDescent="0.25">
      <c r="A64" s="94" t="s">
        <v>124</v>
      </c>
      <c r="B64" s="143">
        <v>0</v>
      </c>
      <c r="C64" s="144">
        <f>B64/$N$1</f>
        <v>0</v>
      </c>
      <c r="D64" s="145">
        <f t="shared" ref="D64:E67" si="20">B64/10.65</f>
        <v>0</v>
      </c>
      <c r="E64" s="20">
        <f t="shared" si="20"/>
        <v>0</v>
      </c>
      <c r="F64" s="179">
        <v>0</v>
      </c>
      <c r="G64" s="146">
        <f t="shared" si="19"/>
        <v>0</v>
      </c>
      <c r="H64" s="146">
        <f t="shared" ref="H64:I67" si="21">F64/10.65</f>
        <v>0</v>
      </c>
      <c r="I64" s="147">
        <f t="shared" si="21"/>
        <v>0</v>
      </c>
      <c r="K64" s="4" t="e">
        <f>B64/B63</f>
        <v>#DIV/0!</v>
      </c>
    </row>
    <row r="65" spans="1:11" x14ac:dyDescent="0.25">
      <c r="A65" s="94" t="s">
        <v>126</v>
      </c>
      <c r="B65" s="143">
        <v>0</v>
      </c>
      <c r="C65" s="144">
        <f>B65/$N$1</f>
        <v>0</v>
      </c>
      <c r="D65" s="145">
        <f t="shared" si="20"/>
        <v>0</v>
      </c>
      <c r="E65" s="20">
        <f t="shared" si="20"/>
        <v>0</v>
      </c>
      <c r="F65" s="179">
        <v>0</v>
      </c>
      <c r="G65" s="146">
        <f t="shared" si="19"/>
        <v>0</v>
      </c>
      <c r="H65" s="146">
        <f t="shared" si="21"/>
        <v>0</v>
      </c>
      <c r="I65" s="147">
        <f t="shared" si="21"/>
        <v>0</v>
      </c>
    </row>
    <row r="66" spans="1:11" x14ac:dyDescent="0.25">
      <c r="A66" s="94" t="s">
        <v>128</v>
      </c>
      <c r="B66" s="143">
        <v>0</v>
      </c>
      <c r="C66" s="144">
        <f>B66/$N$1</f>
        <v>0</v>
      </c>
      <c r="D66" s="145">
        <f t="shared" si="20"/>
        <v>0</v>
      </c>
      <c r="E66" s="20">
        <f t="shared" si="20"/>
        <v>0</v>
      </c>
      <c r="F66" s="179">
        <v>0</v>
      </c>
      <c r="G66" s="146">
        <f t="shared" si="19"/>
        <v>0</v>
      </c>
      <c r="H66" s="146">
        <f t="shared" si="21"/>
        <v>0</v>
      </c>
      <c r="I66" s="147">
        <f t="shared" si="21"/>
        <v>0</v>
      </c>
    </row>
    <row r="67" spans="1:11" ht="17.25" thickBot="1" x14ac:dyDescent="0.3">
      <c r="A67" s="100" t="s">
        <v>129</v>
      </c>
      <c r="B67" s="184">
        <v>0</v>
      </c>
      <c r="C67" s="185">
        <f>B67/$N$1</f>
        <v>0</v>
      </c>
      <c r="D67" s="186">
        <f t="shared" si="20"/>
        <v>0</v>
      </c>
      <c r="E67" s="21">
        <f t="shared" si="20"/>
        <v>0</v>
      </c>
      <c r="F67" s="180">
        <v>1010</v>
      </c>
      <c r="G67" s="152">
        <f t="shared" si="19"/>
        <v>42.083333333333336</v>
      </c>
      <c r="H67" s="152">
        <f t="shared" si="21"/>
        <v>94.835680751173712</v>
      </c>
      <c r="I67" s="153">
        <f t="shared" si="21"/>
        <v>3.9514866979655712</v>
      </c>
    </row>
    <row r="68" spans="1:11" ht="17.25" thickBot="1" x14ac:dyDescent="0.3">
      <c r="A68" s="108" t="s">
        <v>132</v>
      </c>
      <c r="B68" s="154">
        <f>SUM(B69:B74)</f>
        <v>5137.2880860000005</v>
      </c>
      <c r="C68" s="181">
        <f>SUM(C69:C74)</f>
        <v>214.05367025000004</v>
      </c>
      <c r="D68" s="181">
        <f>SUM(D69:D74)</f>
        <v>482.37446816901411</v>
      </c>
      <c r="E68" s="182">
        <f>SUM(E69:E74)</f>
        <v>20.098936173708921</v>
      </c>
      <c r="F68" s="155">
        <f>SUM(F69:F74)</f>
        <v>1346.9813073184516</v>
      </c>
      <c r="G68" s="156">
        <f t="shared" si="19"/>
        <v>56.124221138268815</v>
      </c>
      <c r="H68" s="156">
        <f>F68/10.65</f>
        <v>126.47711805807057</v>
      </c>
      <c r="I68" s="157">
        <f>G68/10.65</f>
        <v>5.2698799190862733</v>
      </c>
      <c r="K68" s="183">
        <f>B69+B70</f>
        <v>2605.2108080000003</v>
      </c>
    </row>
    <row r="69" spans="1:11" x14ac:dyDescent="0.25">
      <c r="A69" s="86" t="s">
        <v>133</v>
      </c>
      <c r="B69" s="174">
        <v>2316.2840000000001</v>
      </c>
      <c r="C69" s="137">
        <f t="shared" ref="C69:C74" si="22">B69/$N$1</f>
        <v>96.511833333333342</v>
      </c>
      <c r="D69" s="138">
        <f t="shared" ref="D69:E74" si="23">B69/10.65</f>
        <v>217.49145539906104</v>
      </c>
      <c r="E69" s="139">
        <f t="shared" si="23"/>
        <v>9.0621439749608772</v>
      </c>
      <c r="F69" s="187">
        <v>1346.9813073184516</v>
      </c>
      <c r="G69" s="188">
        <f t="shared" si="19"/>
        <v>56.124221138268815</v>
      </c>
      <c r="H69" s="188">
        <f t="shared" ref="H69:I74" si="24">F69/10.65</f>
        <v>126.47711805807057</v>
      </c>
      <c r="I69" s="189">
        <f t="shared" si="24"/>
        <v>5.2698799190862733</v>
      </c>
      <c r="K69" s="93">
        <f>B69/$K$68</f>
        <v>0.8890965724874268</v>
      </c>
    </row>
    <row r="70" spans="1:11" x14ac:dyDescent="0.25">
      <c r="A70" s="94" t="s">
        <v>134</v>
      </c>
      <c r="B70" s="175">
        <v>288.92680799999999</v>
      </c>
      <c r="C70" s="144">
        <f t="shared" si="22"/>
        <v>12.038617</v>
      </c>
      <c r="D70" s="145">
        <f t="shared" si="23"/>
        <v>27.129277746478873</v>
      </c>
      <c r="E70" s="20">
        <f t="shared" si="23"/>
        <v>1.1303865727699531</v>
      </c>
      <c r="F70" s="190"/>
      <c r="G70" s="146">
        <f t="shared" si="19"/>
        <v>0</v>
      </c>
      <c r="H70" s="146">
        <f t="shared" si="24"/>
        <v>0</v>
      </c>
      <c r="I70" s="147">
        <f t="shared" si="24"/>
        <v>0</v>
      </c>
      <c r="K70" s="93">
        <f>B70/$K$68</f>
        <v>0.11090342751257309</v>
      </c>
    </row>
    <row r="71" spans="1:11" x14ac:dyDescent="0.25">
      <c r="A71" s="94" t="s">
        <v>135</v>
      </c>
      <c r="B71" s="175">
        <v>0</v>
      </c>
      <c r="C71" s="144">
        <f t="shared" si="22"/>
        <v>0</v>
      </c>
      <c r="D71" s="145">
        <f t="shared" si="23"/>
        <v>0</v>
      </c>
      <c r="E71" s="20">
        <f t="shared" si="23"/>
        <v>0</v>
      </c>
      <c r="F71" s="190">
        <v>0</v>
      </c>
      <c r="G71" s="146">
        <f t="shared" si="19"/>
        <v>0</v>
      </c>
      <c r="H71" s="146">
        <f t="shared" si="24"/>
        <v>0</v>
      </c>
      <c r="I71" s="147">
        <f t="shared" si="24"/>
        <v>0</v>
      </c>
      <c r="K71" s="93">
        <f>B71/$B$68</f>
        <v>0</v>
      </c>
    </row>
    <row r="72" spans="1:11" x14ac:dyDescent="0.25">
      <c r="A72" s="94" t="s">
        <v>136</v>
      </c>
      <c r="B72" s="175">
        <v>0</v>
      </c>
      <c r="C72" s="144">
        <f t="shared" si="22"/>
        <v>0</v>
      </c>
      <c r="D72" s="145">
        <f t="shared" si="23"/>
        <v>0</v>
      </c>
      <c r="E72" s="20">
        <f t="shared" si="23"/>
        <v>0</v>
      </c>
      <c r="F72" s="190">
        <v>0</v>
      </c>
      <c r="G72" s="146">
        <f t="shared" si="19"/>
        <v>0</v>
      </c>
      <c r="H72" s="146">
        <f t="shared" si="24"/>
        <v>0</v>
      </c>
      <c r="I72" s="147">
        <f t="shared" si="24"/>
        <v>0</v>
      </c>
      <c r="K72" s="93">
        <f>B72/$B$68</f>
        <v>0</v>
      </c>
    </row>
    <row r="73" spans="1:11" x14ac:dyDescent="0.25">
      <c r="A73" s="94" t="s">
        <v>137</v>
      </c>
      <c r="B73" s="175">
        <v>2532.0772780000002</v>
      </c>
      <c r="C73" s="144">
        <f t="shared" si="22"/>
        <v>105.50321991666668</v>
      </c>
      <c r="D73" s="145">
        <f t="shared" si="23"/>
        <v>237.75373502347418</v>
      </c>
      <c r="E73" s="20">
        <f t="shared" si="23"/>
        <v>9.9064056259780919</v>
      </c>
      <c r="F73" s="190">
        <v>0</v>
      </c>
      <c r="G73" s="146">
        <f t="shared" si="19"/>
        <v>0</v>
      </c>
      <c r="H73" s="146">
        <f t="shared" si="24"/>
        <v>0</v>
      </c>
      <c r="I73" s="147">
        <f t="shared" si="24"/>
        <v>0</v>
      </c>
      <c r="K73" s="93">
        <v>0</v>
      </c>
    </row>
    <row r="74" spans="1:11" ht="17.25" thickBot="1" x14ac:dyDescent="0.3">
      <c r="A74" s="119" t="s">
        <v>139</v>
      </c>
      <c r="B74" s="191">
        <v>0</v>
      </c>
      <c r="C74" s="185">
        <f t="shared" si="22"/>
        <v>0</v>
      </c>
      <c r="D74" s="186">
        <f t="shared" si="23"/>
        <v>0</v>
      </c>
      <c r="E74" s="21">
        <f t="shared" si="23"/>
        <v>0</v>
      </c>
      <c r="F74" s="192">
        <v>0</v>
      </c>
      <c r="G74" s="193">
        <f t="shared" si="19"/>
        <v>0</v>
      </c>
      <c r="H74" s="193">
        <f t="shared" si="24"/>
        <v>0</v>
      </c>
      <c r="I74" s="194">
        <f t="shared" si="24"/>
        <v>0</v>
      </c>
      <c r="K74" s="93">
        <f>B74/$B$68</f>
        <v>0</v>
      </c>
    </row>
    <row r="75" spans="1:11" x14ac:dyDescent="0.25">
      <c r="A75" s="195"/>
      <c r="B75" s="196"/>
      <c r="C75" s="197"/>
      <c r="D75" s="198"/>
      <c r="E75" s="199"/>
      <c r="F75" s="200"/>
      <c r="G75" s="200"/>
      <c r="H75" s="200"/>
      <c r="I75" s="200"/>
    </row>
    <row r="76" spans="1:11" ht="15" customHeight="1" thickBot="1" x14ac:dyDescent="0.3">
      <c r="A76" s="18"/>
      <c r="B76" s="18"/>
      <c r="C76" s="18"/>
      <c r="D76" s="201"/>
      <c r="E76" s="19"/>
      <c r="F76" s="19"/>
      <c r="G76" s="19"/>
      <c r="H76" s="19"/>
      <c r="I76" s="19"/>
    </row>
    <row r="77" spans="1:11" ht="21.75" customHeight="1" x14ac:dyDescent="0.25">
      <c r="A77" s="484" t="s">
        <v>17</v>
      </c>
      <c r="B77" s="494" t="s">
        <v>140</v>
      </c>
      <c r="C77" s="495"/>
      <c r="D77" s="495"/>
      <c r="E77" s="496"/>
      <c r="F77" s="497" t="s">
        <v>141</v>
      </c>
      <c r="G77" s="495"/>
      <c r="H77" s="495"/>
      <c r="I77" s="496"/>
    </row>
    <row r="78" spans="1:11" x14ac:dyDescent="0.25">
      <c r="A78" s="485"/>
      <c r="B78" s="68" t="s">
        <v>2</v>
      </c>
      <c r="C78" s="69" t="s">
        <v>3</v>
      </c>
      <c r="D78" s="69" t="s">
        <v>4</v>
      </c>
      <c r="E78" s="70" t="s">
        <v>5</v>
      </c>
      <c r="F78" s="127" t="s">
        <v>2</v>
      </c>
      <c r="G78" s="69" t="s">
        <v>3</v>
      </c>
      <c r="H78" s="69" t="s">
        <v>4</v>
      </c>
      <c r="I78" s="70" t="s">
        <v>5</v>
      </c>
    </row>
    <row r="79" spans="1:11" ht="17.25" thickBot="1" x14ac:dyDescent="0.3">
      <c r="A79" s="202" t="s">
        <v>18</v>
      </c>
      <c r="B79" s="508"/>
      <c r="C79" s="509"/>
      <c r="D79" s="509"/>
      <c r="E79" s="509"/>
      <c r="F79" s="509"/>
      <c r="G79" s="509"/>
      <c r="H79" s="509"/>
      <c r="I79" s="510"/>
    </row>
    <row r="80" spans="1:11" ht="17.25" thickBot="1" x14ac:dyDescent="0.35">
      <c r="A80" s="203" t="s">
        <v>122</v>
      </c>
      <c r="B80" s="129">
        <f>SUM(B81:B85)</f>
        <v>1340.2840000000001</v>
      </c>
      <c r="C80" s="130">
        <f t="shared" ref="C80:C91" si="25">B80/$N$1</f>
        <v>55.845166666666671</v>
      </c>
      <c r="D80" s="204">
        <f t="shared" ref="D80:E91" si="26">B80/10.65</f>
        <v>125.84826291079813</v>
      </c>
      <c r="E80" s="132">
        <f t="shared" si="26"/>
        <v>5.243677621283255</v>
      </c>
      <c r="F80" s="205">
        <v>1800</v>
      </c>
      <c r="G80" s="206">
        <f t="shared" ref="G80:G91" si="27">F80/$N$1</f>
        <v>75</v>
      </c>
      <c r="H80" s="206">
        <f t="shared" ref="H80:I91" si="28">F80/10.65</f>
        <v>169.01408450704224</v>
      </c>
      <c r="I80" s="207">
        <f t="shared" si="28"/>
        <v>7.0422535211267601</v>
      </c>
    </row>
    <row r="81" spans="1:11" x14ac:dyDescent="0.3">
      <c r="A81" s="208" t="s">
        <v>123</v>
      </c>
      <c r="B81" s="136">
        <v>0</v>
      </c>
      <c r="C81" s="137">
        <f t="shared" si="25"/>
        <v>0</v>
      </c>
      <c r="D81" s="209">
        <f t="shared" si="26"/>
        <v>0</v>
      </c>
      <c r="E81" s="139">
        <f t="shared" si="26"/>
        <v>0</v>
      </c>
      <c r="F81" s="210">
        <v>0</v>
      </c>
      <c r="G81" s="211">
        <f t="shared" si="27"/>
        <v>0</v>
      </c>
      <c r="H81" s="211">
        <f t="shared" si="28"/>
        <v>0</v>
      </c>
      <c r="I81" s="212">
        <f t="shared" si="28"/>
        <v>0</v>
      </c>
    </row>
    <row r="82" spans="1:11" x14ac:dyDescent="0.3">
      <c r="A82" s="213" t="s">
        <v>124</v>
      </c>
      <c r="B82" s="143">
        <v>0</v>
      </c>
      <c r="C82" s="144">
        <f t="shared" si="25"/>
        <v>0</v>
      </c>
      <c r="D82" s="214">
        <f t="shared" si="26"/>
        <v>0</v>
      </c>
      <c r="E82" s="20">
        <f t="shared" si="26"/>
        <v>0</v>
      </c>
      <c r="F82" s="215">
        <v>0</v>
      </c>
      <c r="G82" s="216">
        <f t="shared" si="27"/>
        <v>0</v>
      </c>
      <c r="H82" s="216">
        <f t="shared" si="28"/>
        <v>0</v>
      </c>
      <c r="I82" s="217">
        <f t="shared" si="28"/>
        <v>0</v>
      </c>
    </row>
    <row r="83" spans="1:11" x14ac:dyDescent="0.3">
      <c r="A83" s="213" t="s">
        <v>126</v>
      </c>
      <c r="B83" s="143">
        <v>0</v>
      </c>
      <c r="C83" s="144">
        <f t="shared" si="25"/>
        <v>0</v>
      </c>
      <c r="D83" s="214">
        <f t="shared" si="26"/>
        <v>0</v>
      </c>
      <c r="E83" s="20">
        <f t="shared" si="26"/>
        <v>0</v>
      </c>
      <c r="F83" s="215">
        <v>0</v>
      </c>
      <c r="G83" s="216">
        <f t="shared" si="27"/>
        <v>0</v>
      </c>
      <c r="H83" s="216">
        <f t="shared" si="28"/>
        <v>0</v>
      </c>
      <c r="I83" s="217">
        <f t="shared" si="28"/>
        <v>0</v>
      </c>
    </row>
    <row r="84" spans="1:11" x14ac:dyDescent="0.3">
      <c r="A84" s="213" t="s">
        <v>128</v>
      </c>
      <c r="B84" s="143">
        <v>0</v>
      </c>
      <c r="C84" s="144">
        <f t="shared" si="25"/>
        <v>0</v>
      </c>
      <c r="D84" s="214">
        <f t="shared" si="26"/>
        <v>0</v>
      </c>
      <c r="E84" s="20">
        <f t="shared" si="26"/>
        <v>0</v>
      </c>
      <c r="F84" s="215">
        <v>0</v>
      </c>
      <c r="G84" s="216">
        <f t="shared" si="27"/>
        <v>0</v>
      </c>
      <c r="H84" s="216">
        <f t="shared" si="28"/>
        <v>0</v>
      </c>
      <c r="I84" s="217">
        <f t="shared" si="28"/>
        <v>0</v>
      </c>
    </row>
    <row r="85" spans="1:11" ht="17.25" thickBot="1" x14ac:dyDescent="0.35">
      <c r="A85" s="218" t="s">
        <v>129</v>
      </c>
      <c r="B85" s="148">
        <v>1340.2840000000001</v>
      </c>
      <c r="C85" s="149">
        <f t="shared" si="25"/>
        <v>55.845166666666671</v>
      </c>
      <c r="D85" s="219">
        <f t="shared" si="26"/>
        <v>125.84826291079813</v>
      </c>
      <c r="E85" s="151">
        <f t="shared" si="26"/>
        <v>5.243677621283255</v>
      </c>
      <c r="F85" s="220">
        <v>1800</v>
      </c>
      <c r="G85" s="221">
        <f t="shared" si="27"/>
        <v>75</v>
      </c>
      <c r="H85" s="221">
        <f t="shared" si="28"/>
        <v>169.01408450704224</v>
      </c>
      <c r="I85" s="222">
        <f t="shared" si="28"/>
        <v>7.0422535211267601</v>
      </c>
    </row>
    <row r="86" spans="1:11" ht="17.25" thickBot="1" x14ac:dyDescent="0.3">
      <c r="A86" s="223" t="s">
        <v>132</v>
      </c>
      <c r="B86" s="129">
        <f>SUM(B87:B91)</f>
        <v>635.68399999999986</v>
      </c>
      <c r="C86" s="130">
        <f t="shared" si="25"/>
        <v>26.486833333333326</v>
      </c>
      <c r="D86" s="204">
        <f t="shared" si="26"/>
        <v>59.688638497652569</v>
      </c>
      <c r="E86" s="132">
        <f t="shared" si="26"/>
        <v>2.4870266040688569</v>
      </c>
      <c r="F86" s="224">
        <v>0</v>
      </c>
      <c r="G86" s="206">
        <f t="shared" si="27"/>
        <v>0</v>
      </c>
      <c r="H86" s="206">
        <f t="shared" si="28"/>
        <v>0</v>
      </c>
      <c r="I86" s="207">
        <f>G86/10.65</f>
        <v>0</v>
      </c>
    </row>
    <row r="87" spans="1:11" x14ac:dyDescent="0.3">
      <c r="A87" s="208" t="s">
        <v>133</v>
      </c>
      <c r="B87" s="136">
        <v>0.36799999999999999</v>
      </c>
      <c r="C87" s="137">
        <f t="shared" si="25"/>
        <v>1.5333333333333332E-2</v>
      </c>
      <c r="D87" s="209">
        <f t="shared" si="26"/>
        <v>3.4553990610328635E-2</v>
      </c>
      <c r="E87" s="139">
        <f t="shared" si="26"/>
        <v>1.4397496087636933E-3</v>
      </c>
      <c r="F87" s="210">
        <v>0</v>
      </c>
      <c r="G87" s="211">
        <f t="shared" si="27"/>
        <v>0</v>
      </c>
      <c r="H87" s="211">
        <f t="shared" si="28"/>
        <v>0</v>
      </c>
      <c r="I87" s="212">
        <f t="shared" si="28"/>
        <v>0</v>
      </c>
    </row>
    <row r="88" spans="1:11" x14ac:dyDescent="0.3">
      <c r="A88" s="213" t="s">
        <v>134</v>
      </c>
      <c r="B88" s="143">
        <v>635.3159999999998</v>
      </c>
      <c r="C88" s="144">
        <f t="shared" si="25"/>
        <v>26.471499999999992</v>
      </c>
      <c r="D88" s="214">
        <f t="shared" si="26"/>
        <v>59.654084507042235</v>
      </c>
      <c r="E88" s="20">
        <f t="shared" si="26"/>
        <v>2.485586854460093</v>
      </c>
      <c r="F88" s="215">
        <v>0</v>
      </c>
      <c r="G88" s="216">
        <f t="shared" si="27"/>
        <v>0</v>
      </c>
      <c r="H88" s="216">
        <f t="shared" si="28"/>
        <v>0</v>
      </c>
      <c r="I88" s="217">
        <f t="shared" si="28"/>
        <v>0</v>
      </c>
    </row>
    <row r="89" spans="1:11" x14ac:dyDescent="0.3">
      <c r="A89" s="213" t="s">
        <v>136</v>
      </c>
      <c r="B89" s="143">
        <v>0</v>
      </c>
      <c r="C89" s="144">
        <f t="shared" si="25"/>
        <v>0</v>
      </c>
      <c r="D89" s="214">
        <f t="shared" si="26"/>
        <v>0</v>
      </c>
      <c r="E89" s="20">
        <f t="shared" si="26"/>
        <v>0</v>
      </c>
      <c r="F89" s="215">
        <v>0</v>
      </c>
      <c r="G89" s="216">
        <f t="shared" si="27"/>
        <v>0</v>
      </c>
      <c r="H89" s="216">
        <f t="shared" si="28"/>
        <v>0</v>
      </c>
      <c r="I89" s="217">
        <f t="shared" si="28"/>
        <v>0</v>
      </c>
    </row>
    <row r="90" spans="1:11" x14ac:dyDescent="0.3">
      <c r="A90" s="213" t="s">
        <v>137</v>
      </c>
      <c r="B90" s="143">
        <v>0</v>
      </c>
      <c r="C90" s="144">
        <f t="shared" si="25"/>
        <v>0</v>
      </c>
      <c r="D90" s="214">
        <f t="shared" si="26"/>
        <v>0</v>
      </c>
      <c r="E90" s="20">
        <f t="shared" si="26"/>
        <v>0</v>
      </c>
      <c r="F90" s="215">
        <v>0</v>
      </c>
      <c r="G90" s="216">
        <f t="shared" si="27"/>
        <v>0</v>
      </c>
      <c r="H90" s="216">
        <f t="shared" si="28"/>
        <v>0</v>
      </c>
      <c r="I90" s="217">
        <f t="shared" si="28"/>
        <v>0</v>
      </c>
    </row>
    <row r="91" spans="1:11" ht="17.25" thickBot="1" x14ac:dyDescent="0.35">
      <c r="A91" s="225" t="s">
        <v>139</v>
      </c>
      <c r="B91" s="184">
        <v>0</v>
      </c>
      <c r="C91" s="185">
        <f t="shared" si="25"/>
        <v>0</v>
      </c>
      <c r="D91" s="226">
        <f t="shared" si="26"/>
        <v>0</v>
      </c>
      <c r="E91" s="21">
        <f t="shared" si="26"/>
        <v>0</v>
      </c>
      <c r="F91" s="227">
        <v>0</v>
      </c>
      <c r="G91" s="228">
        <f t="shared" si="27"/>
        <v>0</v>
      </c>
      <c r="H91" s="228">
        <f t="shared" si="28"/>
        <v>0</v>
      </c>
      <c r="I91" s="229">
        <f t="shared" si="28"/>
        <v>0</v>
      </c>
    </row>
    <row r="92" spans="1:11" ht="17.25" thickBot="1" x14ac:dyDescent="0.3">
      <c r="A92" s="202" t="s">
        <v>19</v>
      </c>
      <c r="B92" s="498"/>
      <c r="C92" s="499"/>
      <c r="D92" s="499"/>
      <c r="E92" s="499"/>
      <c r="F92" s="499"/>
      <c r="G92" s="499"/>
      <c r="H92" s="499"/>
      <c r="I92" s="500"/>
    </row>
    <row r="93" spans="1:11" ht="17.25" thickBot="1" x14ac:dyDescent="0.3">
      <c r="A93" s="203" t="s">
        <v>122</v>
      </c>
      <c r="B93" s="129">
        <f>SUM(B94:B98)</f>
        <v>94825.271000000008</v>
      </c>
      <c r="C93" s="130">
        <f t="shared" ref="C93:C104" si="29">B93/$N$1</f>
        <v>3951.0529583333337</v>
      </c>
      <c r="D93" s="204">
        <f t="shared" ref="D93:E104" si="30">B93/10.65</f>
        <v>8903.7813145539913</v>
      </c>
      <c r="E93" s="132">
        <f t="shared" si="30"/>
        <v>370.99088810641632</v>
      </c>
      <c r="F93" s="224">
        <v>50000</v>
      </c>
      <c r="G93" s="206">
        <f t="shared" ref="G93:G104" si="31">F93/$N$1</f>
        <v>2083.3333333333335</v>
      </c>
      <c r="H93" s="206">
        <f t="shared" ref="H93:I104" si="32">F93/10.65</f>
        <v>4694.8356807511736</v>
      </c>
      <c r="I93" s="207">
        <f t="shared" si="32"/>
        <v>195.61815336463224</v>
      </c>
    </row>
    <row r="94" spans="1:11" x14ac:dyDescent="0.25">
      <c r="A94" s="208" t="s">
        <v>123</v>
      </c>
      <c r="B94" s="136">
        <v>11494.880999999999</v>
      </c>
      <c r="C94" s="137">
        <f t="shared" si="29"/>
        <v>478.95337499999999</v>
      </c>
      <c r="D94" s="209">
        <f t="shared" si="30"/>
        <v>1079.3315492957745</v>
      </c>
      <c r="E94" s="139">
        <f t="shared" si="30"/>
        <v>44.972147887323942</v>
      </c>
      <c r="F94" s="230">
        <f>$F$93*K94</f>
        <v>6061.0852353904684</v>
      </c>
      <c r="G94" s="211">
        <f t="shared" si="31"/>
        <v>252.54521814126952</v>
      </c>
      <c r="H94" s="211">
        <f t="shared" si="32"/>
        <v>569.11598454370596</v>
      </c>
      <c r="I94" s="212">
        <f t="shared" si="32"/>
        <v>23.713166022654413</v>
      </c>
      <c r="K94" s="93">
        <f>B94/$B$93</f>
        <v>0.12122170470780937</v>
      </c>
    </row>
    <row r="95" spans="1:11" x14ac:dyDescent="0.25">
      <c r="A95" s="213" t="s">
        <v>124</v>
      </c>
      <c r="B95" s="143">
        <v>53465.241999999998</v>
      </c>
      <c r="C95" s="144">
        <f t="shared" si="29"/>
        <v>2227.7184166666666</v>
      </c>
      <c r="D95" s="214">
        <f t="shared" si="30"/>
        <v>5020.2105164319246</v>
      </c>
      <c r="E95" s="20">
        <f t="shared" si="30"/>
        <v>209.17543818466353</v>
      </c>
      <c r="F95" s="230">
        <f>$F$93*K95</f>
        <v>28191.452255380318</v>
      </c>
      <c r="G95" s="216">
        <f t="shared" si="31"/>
        <v>1174.6438439741798</v>
      </c>
      <c r="H95" s="216">
        <f t="shared" si="32"/>
        <v>2647.0847188150533</v>
      </c>
      <c r="I95" s="217">
        <f t="shared" si="32"/>
        <v>110.29519661729388</v>
      </c>
      <c r="K95" s="93">
        <f>B95/$B$93</f>
        <v>0.56382904510760634</v>
      </c>
    </row>
    <row r="96" spans="1:11" x14ac:dyDescent="0.25">
      <c r="A96" s="213" t="s">
        <v>126</v>
      </c>
      <c r="B96" s="143">
        <v>0</v>
      </c>
      <c r="C96" s="144">
        <f t="shared" si="29"/>
        <v>0</v>
      </c>
      <c r="D96" s="214">
        <f t="shared" si="30"/>
        <v>0</v>
      </c>
      <c r="E96" s="20">
        <f t="shared" si="30"/>
        <v>0</v>
      </c>
      <c r="F96" s="230">
        <f>$F$93*K96</f>
        <v>0</v>
      </c>
      <c r="G96" s="216">
        <f t="shared" si="31"/>
        <v>0</v>
      </c>
      <c r="H96" s="216">
        <f t="shared" si="32"/>
        <v>0</v>
      </c>
      <c r="I96" s="217">
        <f t="shared" si="32"/>
        <v>0</v>
      </c>
      <c r="K96" s="93">
        <f>B96/$B$93</f>
        <v>0</v>
      </c>
    </row>
    <row r="97" spans="1:11" x14ac:dyDescent="0.25">
      <c r="A97" s="213" t="s">
        <v>128</v>
      </c>
      <c r="B97" s="143">
        <v>0</v>
      </c>
      <c r="C97" s="144">
        <f t="shared" si="29"/>
        <v>0</v>
      </c>
      <c r="D97" s="214">
        <f t="shared" si="30"/>
        <v>0</v>
      </c>
      <c r="E97" s="20">
        <f t="shared" si="30"/>
        <v>0</v>
      </c>
      <c r="F97" s="230">
        <f>$F$93*K97</f>
        <v>0</v>
      </c>
      <c r="G97" s="216">
        <f t="shared" si="31"/>
        <v>0</v>
      </c>
      <c r="H97" s="216">
        <f t="shared" si="32"/>
        <v>0</v>
      </c>
      <c r="I97" s="217">
        <f t="shared" si="32"/>
        <v>0</v>
      </c>
      <c r="K97" s="93">
        <f>B97/$B$93</f>
        <v>0</v>
      </c>
    </row>
    <row r="98" spans="1:11" ht="17.25" thickBot="1" x14ac:dyDescent="0.3">
      <c r="A98" s="218" t="s">
        <v>129</v>
      </c>
      <c r="B98" s="148">
        <v>29865.148000000001</v>
      </c>
      <c r="C98" s="149">
        <f t="shared" si="29"/>
        <v>1244.3811666666668</v>
      </c>
      <c r="D98" s="219">
        <f t="shared" si="30"/>
        <v>2804.2392488262913</v>
      </c>
      <c r="E98" s="151">
        <f t="shared" si="30"/>
        <v>116.8433020344288</v>
      </c>
      <c r="F98" s="230">
        <f>$F$93*K98</f>
        <v>15747.46250922921</v>
      </c>
      <c r="G98" s="221">
        <f t="shared" si="31"/>
        <v>656.14427121788378</v>
      </c>
      <c r="H98" s="221">
        <f t="shared" si="32"/>
        <v>1478.6349773924139</v>
      </c>
      <c r="I98" s="222">
        <f t="shared" si="32"/>
        <v>61.609790724683918</v>
      </c>
      <c r="K98" s="93">
        <f>B98/$B$93</f>
        <v>0.3149492501845842</v>
      </c>
    </row>
    <row r="99" spans="1:11" ht="17.25" thickBot="1" x14ac:dyDescent="0.3">
      <c r="A99" s="223" t="s">
        <v>132</v>
      </c>
      <c r="B99" s="129">
        <f>SUM(B100:B104)</f>
        <v>89583.60500000004</v>
      </c>
      <c r="C99" s="130">
        <f t="shared" si="29"/>
        <v>3732.6502083333348</v>
      </c>
      <c r="D99" s="204">
        <f t="shared" si="30"/>
        <v>8411.606103286389</v>
      </c>
      <c r="E99" s="132">
        <f t="shared" si="30"/>
        <v>350.48358763693284</v>
      </c>
      <c r="F99" s="231">
        <f>SUM(F100:F104)</f>
        <v>9960.4484883143487</v>
      </c>
      <c r="G99" s="232">
        <f t="shared" si="31"/>
        <v>415.01868701309786</v>
      </c>
      <c r="H99" s="232">
        <f t="shared" si="32"/>
        <v>935.25337918444586</v>
      </c>
      <c r="I99" s="233">
        <f t="shared" si="32"/>
        <v>38.968890799351911</v>
      </c>
    </row>
    <row r="100" spans="1:11" x14ac:dyDescent="0.25">
      <c r="A100" s="208" t="s">
        <v>133</v>
      </c>
      <c r="B100" s="136">
        <v>17845.857660000001</v>
      </c>
      <c r="C100" s="137">
        <f t="shared" si="29"/>
        <v>743.57740250000006</v>
      </c>
      <c r="D100" s="209">
        <f t="shared" si="30"/>
        <v>1675.667385915493</v>
      </c>
      <c r="E100" s="139">
        <f t="shared" si="30"/>
        <v>69.819474413145542</v>
      </c>
      <c r="F100" s="234">
        <v>9960.4484883143487</v>
      </c>
      <c r="G100" s="235">
        <f t="shared" si="31"/>
        <v>415.01868701309786</v>
      </c>
      <c r="H100" s="235">
        <f t="shared" si="32"/>
        <v>935.25337918444586</v>
      </c>
      <c r="I100" s="236">
        <f t="shared" si="32"/>
        <v>38.968890799351911</v>
      </c>
      <c r="K100" s="93">
        <f>B100/$B$99</f>
        <v>0.19920896976628696</v>
      </c>
    </row>
    <row r="101" spans="1:11" x14ac:dyDescent="0.25">
      <c r="A101" s="213" t="s">
        <v>134</v>
      </c>
      <c r="B101" s="143">
        <v>71737.747340000031</v>
      </c>
      <c r="C101" s="144">
        <f t="shared" si="29"/>
        <v>2989.0728058333348</v>
      </c>
      <c r="D101" s="214">
        <f t="shared" si="30"/>
        <v>6735.9387173708947</v>
      </c>
      <c r="E101" s="20">
        <f t="shared" si="30"/>
        <v>280.6641132237873</v>
      </c>
      <c r="F101" s="230"/>
      <c r="G101" s="216">
        <f t="shared" si="31"/>
        <v>0</v>
      </c>
      <c r="H101" s="216">
        <f t="shared" si="32"/>
        <v>0</v>
      </c>
      <c r="I101" s="217">
        <f t="shared" si="32"/>
        <v>0</v>
      </c>
      <c r="K101" s="93">
        <f>B101/$B$99</f>
        <v>0.80079103023371301</v>
      </c>
    </row>
    <row r="102" spans="1:11" x14ac:dyDescent="0.25">
      <c r="A102" s="213" t="s">
        <v>136</v>
      </c>
      <c r="B102" s="143">
        <v>0</v>
      </c>
      <c r="C102" s="144">
        <f t="shared" si="29"/>
        <v>0</v>
      </c>
      <c r="D102" s="214">
        <f t="shared" si="30"/>
        <v>0</v>
      </c>
      <c r="E102" s="20">
        <f t="shared" si="30"/>
        <v>0</v>
      </c>
      <c r="F102" s="230">
        <v>0</v>
      </c>
      <c r="G102" s="216">
        <f t="shared" si="31"/>
        <v>0</v>
      </c>
      <c r="H102" s="216">
        <f t="shared" si="32"/>
        <v>0</v>
      </c>
      <c r="I102" s="217">
        <f t="shared" si="32"/>
        <v>0</v>
      </c>
      <c r="K102" s="93">
        <f>B102/$B$99</f>
        <v>0</v>
      </c>
    </row>
    <row r="103" spans="1:11" x14ac:dyDescent="0.25">
      <c r="A103" s="213" t="s">
        <v>137</v>
      </c>
      <c r="B103" s="143">
        <v>0</v>
      </c>
      <c r="C103" s="144">
        <f t="shared" si="29"/>
        <v>0</v>
      </c>
      <c r="D103" s="214">
        <f t="shared" si="30"/>
        <v>0</v>
      </c>
      <c r="E103" s="20">
        <f t="shared" si="30"/>
        <v>0</v>
      </c>
      <c r="F103" s="230">
        <v>0</v>
      </c>
      <c r="G103" s="216">
        <f t="shared" si="31"/>
        <v>0</v>
      </c>
      <c r="H103" s="216">
        <f t="shared" si="32"/>
        <v>0</v>
      </c>
      <c r="I103" s="217">
        <f t="shared" si="32"/>
        <v>0</v>
      </c>
      <c r="K103" s="93">
        <f>B103/$B$99</f>
        <v>0</v>
      </c>
    </row>
    <row r="104" spans="1:11" ht="17.25" thickBot="1" x14ac:dyDescent="0.3">
      <c r="A104" s="225" t="s">
        <v>139</v>
      </c>
      <c r="B104" s="184">
        <v>0</v>
      </c>
      <c r="C104" s="185">
        <f t="shared" si="29"/>
        <v>0</v>
      </c>
      <c r="D104" s="226">
        <f t="shared" si="30"/>
        <v>0</v>
      </c>
      <c r="E104" s="21">
        <f t="shared" si="30"/>
        <v>0</v>
      </c>
      <c r="F104" s="237">
        <v>0</v>
      </c>
      <c r="G104" s="228">
        <f t="shared" si="31"/>
        <v>0</v>
      </c>
      <c r="H104" s="228">
        <f t="shared" si="32"/>
        <v>0</v>
      </c>
      <c r="I104" s="229">
        <f t="shared" si="32"/>
        <v>0</v>
      </c>
      <c r="K104" s="93">
        <f>B104/$B$99</f>
        <v>0</v>
      </c>
    </row>
    <row r="105" spans="1:11" ht="17.25" thickBot="1" x14ac:dyDescent="0.3">
      <c r="A105" s="202" t="s">
        <v>20</v>
      </c>
      <c r="B105" s="498"/>
      <c r="C105" s="499"/>
      <c r="D105" s="499"/>
      <c r="E105" s="499"/>
      <c r="F105" s="499"/>
      <c r="G105" s="499"/>
      <c r="H105" s="499"/>
      <c r="I105" s="500"/>
    </row>
    <row r="106" spans="1:11" ht="17.25" thickBot="1" x14ac:dyDescent="0.3">
      <c r="A106" s="203" t="s">
        <v>122</v>
      </c>
      <c r="B106" s="129">
        <f>SUM(B107:B111)</f>
        <v>175565.54</v>
      </c>
      <c r="C106" s="130">
        <f t="shared" ref="C106:C117" si="33">B106/$N$1</f>
        <v>7315.230833333334</v>
      </c>
      <c r="D106" s="204">
        <f t="shared" ref="D106:E117" si="34">B106/10.65</f>
        <v>16485.027230046948</v>
      </c>
      <c r="E106" s="132">
        <f t="shared" si="34"/>
        <v>686.87613458528961</v>
      </c>
      <c r="F106" s="224">
        <v>120000</v>
      </c>
      <c r="G106" s="206">
        <f t="shared" ref="G106:G117" si="35">F106/$N$1</f>
        <v>5000</v>
      </c>
      <c r="H106" s="206">
        <f t="shared" ref="H106:I117" si="36">F106/10.65</f>
        <v>11267.605633802816</v>
      </c>
      <c r="I106" s="207">
        <f t="shared" si="36"/>
        <v>469.48356807511738</v>
      </c>
    </row>
    <row r="107" spans="1:11" x14ac:dyDescent="0.25">
      <c r="A107" s="208" t="s">
        <v>123</v>
      </c>
      <c r="B107" s="136">
        <v>56726.631999999998</v>
      </c>
      <c r="C107" s="137">
        <f t="shared" si="33"/>
        <v>2363.6096666666667</v>
      </c>
      <c r="D107" s="209">
        <f t="shared" si="34"/>
        <v>5326.4443192488261</v>
      </c>
      <c r="E107" s="139">
        <f t="shared" si="34"/>
        <v>221.93517996870111</v>
      </c>
      <c r="F107" s="230">
        <f>$F$106*K107</f>
        <v>38772.961026406432</v>
      </c>
      <c r="G107" s="211">
        <f t="shared" si="35"/>
        <v>1615.5400427669347</v>
      </c>
      <c r="H107" s="211">
        <f t="shared" si="36"/>
        <v>3640.6536175029514</v>
      </c>
      <c r="I107" s="212">
        <f t="shared" si="36"/>
        <v>151.69390072928962</v>
      </c>
      <c r="K107" s="93">
        <f>B107/$B$106</f>
        <v>0.32310800855338695</v>
      </c>
    </row>
    <row r="108" spans="1:11" x14ac:dyDescent="0.25">
      <c r="A108" s="213" t="s">
        <v>124</v>
      </c>
      <c r="B108" s="143">
        <v>72981.608000000007</v>
      </c>
      <c r="C108" s="144">
        <f t="shared" si="33"/>
        <v>3040.9003333333335</v>
      </c>
      <c r="D108" s="214">
        <f t="shared" si="34"/>
        <v>6852.7331455399062</v>
      </c>
      <c r="E108" s="20">
        <f t="shared" si="34"/>
        <v>285.53054773082943</v>
      </c>
      <c r="F108" s="230">
        <f>$F$106*K108</f>
        <v>49883.325395177213</v>
      </c>
      <c r="G108" s="216">
        <f t="shared" si="35"/>
        <v>2078.4718914657174</v>
      </c>
      <c r="H108" s="216">
        <f t="shared" si="36"/>
        <v>4683.880318795982</v>
      </c>
      <c r="I108" s="217">
        <f t="shared" si="36"/>
        <v>195.1616799498326</v>
      </c>
      <c r="K108" s="93">
        <f>B108/$B$106</f>
        <v>0.41569437829314343</v>
      </c>
    </row>
    <row r="109" spans="1:11" x14ac:dyDescent="0.25">
      <c r="A109" s="213" t="s">
        <v>126</v>
      </c>
      <c r="B109" s="143">
        <v>244</v>
      </c>
      <c r="C109" s="144">
        <f t="shared" si="33"/>
        <v>10.166666666666666</v>
      </c>
      <c r="D109" s="214">
        <f t="shared" si="34"/>
        <v>22.910798122065728</v>
      </c>
      <c r="E109" s="20">
        <f t="shared" si="34"/>
        <v>0.95461658841940522</v>
      </c>
      <c r="F109" s="230">
        <f>$F$106*K109</f>
        <v>166.77532504385542</v>
      </c>
      <c r="G109" s="216">
        <f t="shared" si="35"/>
        <v>6.9489718768273088</v>
      </c>
      <c r="H109" s="216">
        <f t="shared" si="36"/>
        <v>15.659654933695343</v>
      </c>
      <c r="I109" s="217">
        <f t="shared" si="36"/>
        <v>0.652485622237306</v>
      </c>
      <c r="K109" s="93">
        <f>B109/$B$106</f>
        <v>1.3897943753654618E-3</v>
      </c>
    </row>
    <row r="110" spans="1:11" x14ac:dyDescent="0.25">
      <c r="A110" s="213" t="s">
        <v>128</v>
      </c>
      <c r="B110" s="143">
        <v>945</v>
      </c>
      <c r="C110" s="144">
        <f t="shared" si="33"/>
        <v>39.375</v>
      </c>
      <c r="D110" s="214">
        <f t="shared" si="34"/>
        <v>88.732394366197184</v>
      </c>
      <c r="E110" s="20">
        <f t="shared" si="34"/>
        <v>3.697183098591549</v>
      </c>
      <c r="F110" s="230">
        <f>$F$106*K110</f>
        <v>645.91263182968589</v>
      </c>
      <c r="G110" s="216">
        <f t="shared" si="35"/>
        <v>26.913026326236913</v>
      </c>
      <c r="H110" s="216">
        <f t="shared" si="36"/>
        <v>60.649073411238113</v>
      </c>
      <c r="I110" s="217">
        <f t="shared" si="36"/>
        <v>2.5270447254682549</v>
      </c>
      <c r="K110" s="93">
        <f>B110/$B$106</f>
        <v>5.3826052652473826E-3</v>
      </c>
    </row>
    <row r="111" spans="1:11" ht="17.25" thickBot="1" x14ac:dyDescent="0.3">
      <c r="A111" s="218" t="s">
        <v>129</v>
      </c>
      <c r="B111" s="148">
        <v>44668.299999999996</v>
      </c>
      <c r="C111" s="149">
        <f t="shared" si="33"/>
        <v>1861.1791666666666</v>
      </c>
      <c r="D111" s="219">
        <f t="shared" si="34"/>
        <v>4194.2065727699528</v>
      </c>
      <c r="E111" s="151">
        <f t="shared" si="34"/>
        <v>174.75860719874802</v>
      </c>
      <c r="F111" s="230">
        <f>$F$106*K111</f>
        <v>30531.025621542809</v>
      </c>
      <c r="G111" s="221">
        <f t="shared" si="35"/>
        <v>1272.1260675642836</v>
      </c>
      <c r="H111" s="221">
        <f t="shared" si="36"/>
        <v>2866.7629691589491</v>
      </c>
      <c r="I111" s="222">
        <f t="shared" si="36"/>
        <v>119.44845704828954</v>
      </c>
      <c r="K111" s="93">
        <f>B111/$B$106</f>
        <v>0.25442521351285674</v>
      </c>
    </row>
    <row r="112" spans="1:11" ht="17.25" thickBot="1" x14ac:dyDescent="0.3">
      <c r="A112" s="223" t="s">
        <v>132</v>
      </c>
      <c r="B112" s="129">
        <f>SUM(B113:B117)</f>
        <v>145301.52840499993</v>
      </c>
      <c r="C112" s="130">
        <f t="shared" si="33"/>
        <v>6054.2303502083305</v>
      </c>
      <c r="D112" s="204">
        <f t="shared" si="34"/>
        <v>13643.336000469477</v>
      </c>
      <c r="E112" s="132">
        <f t="shared" si="34"/>
        <v>568.47233335289491</v>
      </c>
      <c r="F112" s="231">
        <f>SUM(F113:F117)</f>
        <v>21259.74128000778</v>
      </c>
      <c r="G112" s="232">
        <f t="shared" si="35"/>
        <v>885.82255333365754</v>
      </c>
      <c r="H112" s="232">
        <f t="shared" si="36"/>
        <v>1996.2198384983831</v>
      </c>
      <c r="I112" s="233">
        <f t="shared" si="36"/>
        <v>83.175826604099299</v>
      </c>
    </row>
    <row r="113" spans="1:11" x14ac:dyDescent="0.25">
      <c r="A113" s="208" t="s">
        <v>133</v>
      </c>
      <c r="B113" s="136">
        <v>25742.274179</v>
      </c>
      <c r="C113" s="137">
        <f t="shared" si="33"/>
        <v>1072.5947574583333</v>
      </c>
      <c r="D113" s="209">
        <f t="shared" si="34"/>
        <v>2417.1149463849765</v>
      </c>
      <c r="E113" s="139">
        <f t="shared" si="34"/>
        <v>100.71312276604068</v>
      </c>
      <c r="F113" s="230">
        <v>21259.74128000778</v>
      </c>
      <c r="G113" s="211">
        <f t="shared" si="35"/>
        <v>885.82255333365754</v>
      </c>
      <c r="H113" s="211">
        <f t="shared" si="36"/>
        <v>1996.2198384983831</v>
      </c>
      <c r="I113" s="212">
        <f t="shared" si="36"/>
        <v>83.175826604099299</v>
      </c>
      <c r="K113" s="93">
        <f>B113/$B$112</f>
        <v>0.1771645106667315</v>
      </c>
    </row>
    <row r="114" spans="1:11" x14ac:dyDescent="0.25">
      <c r="A114" s="213" t="s">
        <v>134</v>
      </c>
      <c r="B114" s="143">
        <v>119559.25422599992</v>
      </c>
      <c r="C114" s="144">
        <f t="shared" si="33"/>
        <v>4981.6355927499962</v>
      </c>
      <c r="D114" s="214">
        <f t="shared" si="34"/>
        <v>11226.221054084499</v>
      </c>
      <c r="E114" s="20">
        <f t="shared" si="34"/>
        <v>467.75921058685407</v>
      </c>
      <c r="F114" s="230"/>
      <c r="G114" s="216">
        <f t="shared" si="35"/>
        <v>0</v>
      </c>
      <c r="H114" s="216">
        <f t="shared" si="36"/>
        <v>0</v>
      </c>
      <c r="I114" s="217">
        <f t="shared" si="36"/>
        <v>0</v>
      </c>
      <c r="K114" s="93">
        <f>B114/$B$112</f>
        <v>0.82283548933326844</v>
      </c>
    </row>
    <row r="115" spans="1:11" x14ac:dyDescent="0.25">
      <c r="A115" s="213" t="s">
        <v>136</v>
      </c>
      <c r="B115" s="143"/>
      <c r="C115" s="144">
        <f t="shared" si="33"/>
        <v>0</v>
      </c>
      <c r="D115" s="214">
        <f t="shared" si="34"/>
        <v>0</v>
      </c>
      <c r="E115" s="20">
        <f t="shared" si="34"/>
        <v>0</v>
      </c>
      <c r="F115" s="230">
        <v>0</v>
      </c>
      <c r="G115" s="216">
        <f t="shared" si="35"/>
        <v>0</v>
      </c>
      <c r="H115" s="216">
        <f t="shared" si="36"/>
        <v>0</v>
      </c>
      <c r="I115" s="217">
        <f t="shared" si="36"/>
        <v>0</v>
      </c>
      <c r="K115" s="93">
        <f>B115/$B$112</f>
        <v>0</v>
      </c>
    </row>
    <row r="116" spans="1:11" x14ac:dyDescent="0.25">
      <c r="A116" s="213" t="s">
        <v>137</v>
      </c>
      <c r="B116" s="143"/>
      <c r="C116" s="144">
        <f t="shared" si="33"/>
        <v>0</v>
      </c>
      <c r="D116" s="214">
        <f t="shared" si="34"/>
        <v>0</v>
      </c>
      <c r="E116" s="20">
        <f t="shared" si="34"/>
        <v>0</v>
      </c>
      <c r="F116" s="230">
        <v>0</v>
      </c>
      <c r="G116" s="216">
        <f t="shared" si="35"/>
        <v>0</v>
      </c>
      <c r="H116" s="216">
        <f t="shared" si="36"/>
        <v>0</v>
      </c>
      <c r="I116" s="217">
        <f t="shared" si="36"/>
        <v>0</v>
      </c>
      <c r="K116" s="93">
        <f>B116/$B$112</f>
        <v>0</v>
      </c>
    </row>
    <row r="117" spans="1:11" ht="17.25" thickBot="1" x14ac:dyDescent="0.3">
      <c r="A117" s="225" t="s">
        <v>139</v>
      </c>
      <c r="B117" s="184"/>
      <c r="C117" s="185">
        <f t="shared" si="33"/>
        <v>0</v>
      </c>
      <c r="D117" s="226">
        <f t="shared" si="34"/>
        <v>0</v>
      </c>
      <c r="E117" s="21">
        <f t="shared" si="34"/>
        <v>0</v>
      </c>
      <c r="F117" s="230">
        <v>0</v>
      </c>
      <c r="G117" s="228">
        <f t="shared" si="35"/>
        <v>0</v>
      </c>
      <c r="H117" s="228">
        <f t="shared" si="36"/>
        <v>0</v>
      </c>
      <c r="I117" s="229">
        <f t="shared" si="36"/>
        <v>0</v>
      </c>
      <c r="K117" s="93">
        <f>B117/$B$112</f>
        <v>0</v>
      </c>
    </row>
    <row r="118" spans="1:11" ht="17.25" thickBot="1" x14ac:dyDescent="0.3">
      <c r="A118" s="202" t="s">
        <v>21</v>
      </c>
      <c r="B118" s="498"/>
      <c r="C118" s="499"/>
      <c r="D118" s="499"/>
      <c r="E118" s="499"/>
      <c r="F118" s="499"/>
      <c r="G118" s="499"/>
      <c r="H118" s="499"/>
      <c r="I118" s="500"/>
    </row>
    <row r="119" spans="1:11" ht="17.25" thickBot="1" x14ac:dyDescent="0.3">
      <c r="A119" s="203" t="s">
        <v>122</v>
      </c>
      <c r="B119" s="129">
        <f>SUM(B121:B124)</f>
        <v>116431.534686</v>
      </c>
      <c r="C119" s="130">
        <f t="shared" ref="C119:C130" si="37">B119/$N$1</f>
        <v>4851.31394525</v>
      </c>
      <c r="D119" s="204">
        <f t="shared" ref="D119:E130" si="38">B119/10.65</f>
        <v>10932.538468169014</v>
      </c>
      <c r="E119" s="132">
        <f t="shared" si="38"/>
        <v>455.52243617370891</v>
      </c>
      <c r="F119" s="238">
        <v>120000</v>
      </c>
      <c r="G119" s="206">
        <f t="shared" ref="G119:G130" si="39">F119/$N$1</f>
        <v>5000</v>
      </c>
      <c r="H119" s="206">
        <f t="shared" ref="H119:I130" si="40">F119/10.65</f>
        <v>11267.605633802816</v>
      </c>
      <c r="I119" s="207">
        <f t="shared" si="40"/>
        <v>469.48356807511738</v>
      </c>
    </row>
    <row r="120" spans="1:11" x14ac:dyDescent="0.25">
      <c r="A120" s="208" t="s">
        <v>123</v>
      </c>
      <c r="B120" s="136">
        <v>38560.103999999999</v>
      </c>
      <c r="C120" s="137">
        <f t="shared" si="37"/>
        <v>1606.671</v>
      </c>
      <c r="D120" s="209">
        <f t="shared" si="38"/>
        <v>3620.6670422535208</v>
      </c>
      <c r="E120" s="139">
        <f t="shared" si="38"/>
        <v>150.86112676056337</v>
      </c>
      <c r="F120" s="239">
        <f>$F$119*K120</f>
        <v>39741.917792967019</v>
      </c>
      <c r="G120" s="211">
        <f t="shared" si="39"/>
        <v>1655.9132413736259</v>
      </c>
      <c r="H120" s="211">
        <f t="shared" si="40"/>
        <v>3731.6354735180298</v>
      </c>
      <c r="I120" s="212">
        <f t="shared" si="40"/>
        <v>155.48481139658458</v>
      </c>
      <c r="K120" s="93">
        <f>B120/$B$119</f>
        <v>0.33118264827472516</v>
      </c>
    </row>
    <row r="121" spans="1:11" x14ac:dyDescent="0.25">
      <c r="A121" s="213" t="s">
        <v>124</v>
      </c>
      <c r="B121" s="143">
        <v>42657.368999999999</v>
      </c>
      <c r="C121" s="144">
        <f t="shared" si="37"/>
        <v>1777.3903749999999</v>
      </c>
      <c r="D121" s="214">
        <f t="shared" si="38"/>
        <v>4005.38676056338</v>
      </c>
      <c r="E121" s="20">
        <f t="shared" si="38"/>
        <v>166.89111502347416</v>
      </c>
      <c r="F121" s="239">
        <f>$F$119*K121</f>
        <v>43964.758291685619</v>
      </c>
      <c r="G121" s="216">
        <f t="shared" si="39"/>
        <v>1831.8649288202341</v>
      </c>
      <c r="H121" s="216">
        <f t="shared" si="40"/>
        <v>4128.1463184681334</v>
      </c>
      <c r="I121" s="217">
        <f t="shared" si="40"/>
        <v>172.00609660283888</v>
      </c>
      <c r="K121" s="93">
        <f>B121/$B$119</f>
        <v>0.36637298576404681</v>
      </c>
    </row>
    <row r="122" spans="1:11" x14ac:dyDescent="0.25">
      <c r="A122" s="213" t="s">
        <v>126</v>
      </c>
      <c r="B122" s="143"/>
      <c r="C122" s="144">
        <f t="shared" si="37"/>
        <v>0</v>
      </c>
      <c r="D122" s="214">
        <f t="shared" si="38"/>
        <v>0</v>
      </c>
      <c r="E122" s="20">
        <f t="shared" si="38"/>
        <v>0</v>
      </c>
      <c r="F122" s="239">
        <f>$F$119*K122</f>
        <v>0</v>
      </c>
      <c r="G122" s="216">
        <f t="shared" si="39"/>
        <v>0</v>
      </c>
      <c r="H122" s="216">
        <f t="shared" si="40"/>
        <v>0</v>
      </c>
      <c r="I122" s="217">
        <f t="shared" si="40"/>
        <v>0</v>
      </c>
      <c r="K122" s="93">
        <f>B122/$B$119</f>
        <v>0</v>
      </c>
    </row>
    <row r="123" spans="1:11" x14ac:dyDescent="0.25">
      <c r="A123" s="213" t="s">
        <v>128</v>
      </c>
      <c r="B123" s="143">
        <v>1016</v>
      </c>
      <c r="C123" s="144">
        <f t="shared" si="37"/>
        <v>42.333333333333336</v>
      </c>
      <c r="D123" s="214">
        <f t="shared" si="38"/>
        <v>95.399061032863841</v>
      </c>
      <c r="E123" s="20">
        <f t="shared" si="38"/>
        <v>3.9749608763693272</v>
      </c>
      <c r="F123" s="239">
        <f>$F$119*K123</f>
        <v>1047.1389931327594</v>
      </c>
      <c r="G123" s="216">
        <f t="shared" si="39"/>
        <v>43.63079138053164</v>
      </c>
      <c r="H123" s="216">
        <f t="shared" si="40"/>
        <v>98.322910153310744</v>
      </c>
      <c r="I123" s="217">
        <f t="shared" si="40"/>
        <v>4.096787923054614</v>
      </c>
      <c r="K123" s="93">
        <f>B123/$B$119</f>
        <v>8.7261582761063283E-3</v>
      </c>
    </row>
    <row r="124" spans="1:11" ht="17.25" thickBot="1" x14ac:dyDescent="0.3">
      <c r="A124" s="218" t="s">
        <v>129</v>
      </c>
      <c r="B124" s="148">
        <v>72758.165685999993</v>
      </c>
      <c r="C124" s="149">
        <f t="shared" si="37"/>
        <v>3031.5902369166665</v>
      </c>
      <c r="D124" s="219">
        <f t="shared" si="38"/>
        <v>6831.7526465727688</v>
      </c>
      <c r="E124" s="151">
        <f t="shared" si="38"/>
        <v>284.6563602738654</v>
      </c>
      <c r="F124" s="239">
        <f>$F$119*K124</f>
        <v>74988.102715181609</v>
      </c>
      <c r="G124" s="221">
        <f t="shared" si="39"/>
        <v>3124.5042797992337</v>
      </c>
      <c r="H124" s="221">
        <f t="shared" si="40"/>
        <v>7041.1364051813716</v>
      </c>
      <c r="I124" s="222">
        <f t="shared" si="40"/>
        <v>293.38068354922382</v>
      </c>
      <c r="K124" s="93">
        <f>B124/$B$119</f>
        <v>0.62490085595984679</v>
      </c>
    </row>
    <row r="125" spans="1:11" ht="17.25" thickBot="1" x14ac:dyDescent="0.3">
      <c r="A125" s="223" t="s">
        <v>132</v>
      </c>
      <c r="B125" s="129">
        <f>SUM(B126:B130)</f>
        <v>112452.2803839999</v>
      </c>
      <c r="C125" s="130">
        <f t="shared" si="37"/>
        <v>4685.5116826666626</v>
      </c>
      <c r="D125" s="204">
        <f t="shared" si="38"/>
        <v>10558.89956657276</v>
      </c>
      <c r="E125" s="132">
        <f t="shared" si="38"/>
        <v>439.95414860719836</v>
      </c>
      <c r="F125" s="240">
        <f>SUM(F126:F130)</f>
        <v>13515.319851675025</v>
      </c>
      <c r="G125" s="232">
        <f t="shared" si="39"/>
        <v>563.13832715312606</v>
      </c>
      <c r="H125" s="232">
        <f t="shared" si="40"/>
        <v>1269.0441175281715</v>
      </c>
      <c r="I125" s="233">
        <f t="shared" si="40"/>
        <v>52.876838230340475</v>
      </c>
    </row>
    <row r="126" spans="1:11" x14ac:dyDescent="0.25">
      <c r="A126" s="208" t="s">
        <v>133</v>
      </c>
      <c r="B126" s="136">
        <v>12665.237811999999</v>
      </c>
      <c r="C126" s="137">
        <f t="shared" si="37"/>
        <v>527.71824216666664</v>
      </c>
      <c r="D126" s="209">
        <f t="shared" si="38"/>
        <v>1189.2242076995303</v>
      </c>
      <c r="E126" s="139">
        <f t="shared" si="38"/>
        <v>49.551008654147104</v>
      </c>
      <c r="F126" s="241">
        <v>13515.319851675025</v>
      </c>
      <c r="G126" s="235">
        <f t="shared" si="39"/>
        <v>563.13832715312606</v>
      </c>
      <c r="H126" s="235">
        <f t="shared" si="40"/>
        <v>1269.0441175281715</v>
      </c>
      <c r="I126" s="236">
        <f t="shared" si="40"/>
        <v>52.876838230340475</v>
      </c>
      <c r="K126" s="93">
        <f>B126/$B$125</f>
        <v>0.11262766543062522</v>
      </c>
    </row>
    <row r="127" spans="1:11" x14ac:dyDescent="0.25">
      <c r="A127" s="213" t="s">
        <v>134</v>
      </c>
      <c r="B127" s="143">
        <v>99787.042571999889</v>
      </c>
      <c r="C127" s="144">
        <f t="shared" si="37"/>
        <v>4157.7934404999951</v>
      </c>
      <c r="D127" s="214">
        <f t="shared" si="38"/>
        <v>9369.6753588732281</v>
      </c>
      <c r="E127" s="20">
        <f t="shared" si="38"/>
        <v>390.40313995305115</v>
      </c>
      <c r="F127" s="239"/>
      <c r="G127" s="216">
        <f t="shared" si="39"/>
        <v>0</v>
      </c>
      <c r="H127" s="216">
        <f t="shared" si="40"/>
        <v>0</v>
      </c>
      <c r="I127" s="217">
        <f t="shared" si="40"/>
        <v>0</v>
      </c>
      <c r="K127" s="93">
        <f>B127/$B$125</f>
        <v>0.8873723345693747</v>
      </c>
    </row>
    <row r="128" spans="1:11" x14ac:dyDescent="0.25">
      <c r="A128" s="213" t="s">
        <v>136</v>
      </c>
      <c r="B128" s="143"/>
      <c r="C128" s="144">
        <f t="shared" si="37"/>
        <v>0</v>
      </c>
      <c r="D128" s="214">
        <f t="shared" si="38"/>
        <v>0</v>
      </c>
      <c r="E128" s="20">
        <f t="shared" si="38"/>
        <v>0</v>
      </c>
      <c r="F128" s="239">
        <v>0</v>
      </c>
      <c r="G128" s="216">
        <f t="shared" si="39"/>
        <v>0</v>
      </c>
      <c r="H128" s="216">
        <f t="shared" si="40"/>
        <v>0</v>
      </c>
      <c r="I128" s="217">
        <f t="shared" si="40"/>
        <v>0</v>
      </c>
      <c r="K128" s="93">
        <f>B128/$B$125</f>
        <v>0</v>
      </c>
    </row>
    <row r="129" spans="1:11" x14ac:dyDescent="0.25">
      <c r="A129" s="213" t="s">
        <v>137</v>
      </c>
      <c r="B129" s="143"/>
      <c r="C129" s="144">
        <f t="shared" si="37"/>
        <v>0</v>
      </c>
      <c r="D129" s="214">
        <f t="shared" si="38"/>
        <v>0</v>
      </c>
      <c r="E129" s="20">
        <f t="shared" si="38"/>
        <v>0</v>
      </c>
      <c r="F129" s="239">
        <v>0</v>
      </c>
      <c r="G129" s="216">
        <f t="shared" si="39"/>
        <v>0</v>
      </c>
      <c r="H129" s="216">
        <f t="shared" si="40"/>
        <v>0</v>
      </c>
      <c r="I129" s="217">
        <f t="shared" si="40"/>
        <v>0</v>
      </c>
      <c r="K129" s="93">
        <f>B129/$B$125</f>
        <v>0</v>
      </c>
    </row>
    <row r="130" spans="1:11" ht="17.25" thickBot="1" x14ac:dyDescent="0.3">
      <c r="A130" s="225" t="s">
        <v>139</v>
      </c>
      <c r="B130" s="184"/>
      <c r="C130" s="185">
        <f t="shared" si="37"/>
        <v>0</v>
      </c>
      <c r="D130" s="226">
        <f t="shared" si="38"/>
        <v>0</v>
      </c>
      <c r="E130" s="21">
        <f t="shared" si="38"/>
        <v>0</v>
      </c>
      <c r="F130" s="242">
        <v>0</v>
      </c>
      <c r="G130" s="228">
        <f t="shared" si="39"/>
        <v>0</v>
      </c>
      <c r="H130" s="228">
        <f t="shared" si="40"/>
        <v>0</v>
      </c>
      <c r="I130" s="229">
        <f t="shared" si="40"/>
        <v>0</v>
      </c>
      <c r="K130" s="93">
        <f>B130/$B$125</f>
        <v>0</v>
      </c>
    </row>
    <row r="131" spans="1:11" ht="17.25" thickBot="1" x14ac:dyDescent="0.3">
      <c r="A131" s="202" t="s">
        <v>22</v>
      </c>
      <c r="B131" s="498"/>
      <c r="C131" s="499"/>
      <c r="D131" s="499"/>
      <c r="E131" s="499"/>
      <c r="F131" s="499"/>
      <c r="G131" s="499"/>
      <c r="H131" s="499"/>
      <c r="I131" s="500"/>
    </row>
    <row r="132" spans="1:11" ht="17.25" thickBot="1" x14ac:dyDescent="0.3">
      <c r="A132" s="203" t="s">
        <v>122</v>
      </c>
      <c r="B132" s="129">
        <f>SUM(B133:B137)</f>
        <v>71317.625985999999</v>
      </c>
      <c r="C132" s="130">
        <f t="shared" ref="C132:C143" si="41">B132/$N$1</f>
        <v>2971.5677494166666</v>
      </c>
      <c r="D132" s="204">
        <f t="shared" ref="D132:E143" si="42">B132/10.65</f>
        <v>6696.4907029107981</v>
      </c>
      <c r="E132" s="132">
        <f t="shared" si="42"/>
        <v>279.02044595461655</v>
      </c>
      <c r="F132" s="238">
        <v>80000</v>
      </c>
      <c r="G132" s="206">
        <f t="shared" ref="G132:G143" si="43">F132/$N$1</f>
        <v>3333.3333333333335</v>
      </c>
      <c r="H132" s="206">
        <f t="shared" ref="H132:I143" si="44">F132/10.65</f>
        <v>7511.737089201878</v>
      </c>
      <c r="I132" s="207">
        <f t="shared" si="44"/>
        <v>312.98904538341156</v>
      </c>
    </row>
    <row r="133" spans="1:11" x14ac:dyDescent="0.25">
      <c r="A133" s="208" t="s">
        <v>123</v>
      </c>
      <c r="B133" s="136">
        <v>9552.6958200000008</v>
      </c>
      <c r="C133" s="137">
        <f t="shared" si="41"/>
        <v>398.02899250000002</v>
      </c>
      <c r="D133" s="209">
        <f t="shared" si="42"/>
        <v>896.96674366197192</v>
      </c>
      <c r="E133" s="139">
        <f t="shared" si="42"/>
        <v>37.37361431924883</v>
      </c>
      <c r="F133" s="239">
        <f>$F$132*K133</f>
        <v>10715.663274462044</v>
      </c>
      <c r="G133" s="211">
        <f t="shared" si="43"/>
        <v>446.48596976925182</v>
      </c>
      <c r="H133" s="211">
        <f t="shared" si="44"/>
        <v>1006.1655656771871</v>
      </c>
      <c r="I133" s="212">
        <f t="shared" si="44"/>
        <v>41.923565236549464</v>
      </c>
      <c r="K133" s="93">
        <f>B133/$B$132</f>
        <v>0.13394579093077555</v>
      </c>
    </row>
    <row r="134" spans="1:11" x14ac:dyDescent="0.25">
      <c r="A134" s="213" t="s">
        <v>124</v>
      </c>
      <c r="B134" s="143">
        <v>8892.3919999999998</v>
      </c>
      <c r="C134" s="144">
        <f t="shared" si="41"/>
        <v>370.51633333333331</v>
      </c>
      <c r="D134" s="214">
        <f t="shared" si="42"/>
        <v>834.96638497652577</v>
      </c>
      <c r="E134" s="20">
        <f t="shared" si="42"/>
        <v>34.790266040688572</v>
      </c>
      <c r="F134" s="239">
        <f>$F$132*K134</f>
        <v>9974.9725283851931</v>
      </c>
      <c r="G134" s="216">
        <f t="shared" si="43"/>
        <v>415.62385534938306</v>
      </c>
      <c r="H134" s="216">
        <f t="shared" si="44"/>
        <v>936.61713881551111</v>
      </c>
      <c r="I134" s="217">
        <f t="shared" si="44"/>
        <v>39.025714117312965</v>
      </c>
      <c r="K134" s="93">
        <f>B134/$B$132</f>
        <v>0.12468715660481491</v>
      </c>
    </row>
    <row r="135" spans="1:11" x14ac:dyDescent="0.25">
      <c r="A135" s="213" t="s">
        <v>126</v>
      </c>
      <c r="B135" s="143"/>
      <c r="C135" s="144">
        <f t="shared" si="41"/>
        <v>0</v>
      </c>
      <c r="D135" s="214">
        <f t="shared" si="42"/>
        <v>0</v>
      </c>
      <c r="E135" s="20">
        <f t="shared" si="42"/>
        <v>0</v>
      </c>
      <c r="F135" s="239">
        <f>$F$132*K135</f>
        <v>0</v>
      </c>
      <c r="G135" s="216">
        <f t="shared" si="43"/>
        <v>0</v>
      </c>
      <c r="H135" s="216">
        <f t="shared" si="44"/>
        <v>0</v>
      </c>
      <c r="I135" s="217">
        <f t="shared" si="44"/>
        <v>0</v>
      </c>
      <c r="K135" s="93">
        <f>B135/$B$132</f>
        <v>0</v>
      </c>
    </row>
    <row r="136" spans="1:11" x14ac:dyDescent="0.25">
      <c r="A136" s="213" t="s">
        <v>128</v>
      </c>
      <c r="B136" s="143">
        <v>1</v>
      </c>
      <c r="C136" s="144">
        <f t="shared" si="41"/>
        <v>4.1666666666666664E-2</v>
      </c>
      <c r="D136" s="214">
        <f t="shared" si="42"/>
        <v>9.3896713615023469E-2</v>
      </c>
      <c r="E136" s="20">
        <f t="shared" si="42"/>
        <v>3.912363067292644E-3</v>
      </c>
      <c r="F136" s="239">
        <f>$F$132*K136</f>
        <v>1.1217423307907697</v>
      </c>
      <c r="G136" s="216">
        <f t="shared" si="43"/>
        <v>4.6739263782948737E-2</v>
      </c>
      <c r="H136" s="216">
        <f t="shared" si="44"/>
        <v>0.10532791838410982</v>
      </c>
      <c r="I136" s="217">
        <f t="shared" si="44"/>
        <v>4.3886632660045761E-3</v>
      </c>
      <c r="K136" s="93">
        <f>B136/$B$132</f>
        <v>1.4021779134884621E-5</v>
      </c>
    </row>
    <row r="137" spans="1:11" ht="17.25" thickBot="1" x14ac:dyDescent="0.3">
      <c r="A137" s="218" t="s">
        <v>129</v>
      </c>
      <c r="B137" s="148">
        <v>52871.538165999998</v>
      </c>
      <c r="C137" s="149">
        <f t="shared" si="41"/>
        <v>2202.9807569166665</v>
      </c>
      <c r="D137" s="219">
        <f t="shared" si="42"/>
        <v>4964.463677558685</v>
      </c>
      <c r="E137" s="151">
        <f t="shared" si="42"/>
        <v>206.85265323161187</v>
      </c>
      <c r="F137" s="239">
        <f>$F$132*K137</f>
        <v>59308.242454821979</v>
      </c>
      <c r="G137" s="221">
        <f t="shared" si="43"/>
        <v>2471.1767689509156</v>
      </c>
      <c r="H137" s="221">
        <f t="shared" si="44"/>
        <v>5568.8490567907957</v>
      </c>
      <c r="I137" s="222">
        <f t="shared" si="44"/>
        <v>232.03537736628314</v>
      </c>
      <c r="K137" s="93">
        <f>B137/$B$132</f>
        <v>0.74135303068527469</v>
      </c>
    </row>
    <row r="138" spans="1:11" ht="17.25" thickBot="1" x14ac:dyDescent="0.3">
      <c r="A138" s="223" t="s">
        <v>132</v>
      </c>
      <c r="B138" s="129">
        <f>SUM(B139:B143)</f>
        <v>73527.868286000143</v>
      </c>
      <c r="C138" s="130">
        <f t="shared" si="41"/>
        <v>3063.6611785833393</v>
      </c>
      <c r="D138" s="204">
        <f t="shared" si="42"/>
        <v>6904.0251911737223</v>
      </c>
      <c r="E138" s="132">
        <f t="shared" si="42"/>
        <v>287.66771629890508</v>
      </c>
      <c r="F138" s="240">
        <f>SUM(F139:F143)</f>
        <v>556.53755445255376</v>
      </c>
      <c r="G138" s="232">
        <f t="shared" si="43"/>
        <v>23.189064768856408</v>
      </c>
      <c r="H138" s="232">
        <f t="shared" si="44"/>
        <v>52.257047366436971</v>
      </c>
      <c r="I138" s="233">
        <f t="shared" si="44"/>
        <v>2.1773769736015405</v>
      </c>
    </row>
    <row r="139" spans="1:11" x14ac:dyDescent="0.25">
      <c r="A139" s="208" t="s">
        <v>133</v>
      </c>
      <c r="B139" s="136">
        <v>454.67800000000005</v>
      </c>
      <c r="C139" s="137">
        <f t="shared" si="41"/>
        <v>18.944916666666668</v>
      </c>
      <c r="D139" s="209">
        <f t="shared" si="42"/>
        <v>42.692769953051645</v>
      </c>
      <c r="E139" s="139">
        <f t="shared" si="42"/>
        <v>1.7788654147104852</v>
      </c>
      <c r="F139" s="239">
        <v>556.53755445255376</v>
      </c>
      <c r="G139" s="211">
        <f t="shared" si="43"/>
        <v>23.189064768856408</v>
      </c>
      <c r="H139" s="211">
        <f t="shared" si="44"/>
        <v>52.257047366436971</v>
      </c>
      <c r="I139" s="212">
        <f t="shared" si="44"/>
        <v>2.1773769736015405</v>
      </c>
      <c r="K139" s="93">
        <f>B139/$B$138</f>
        <v>6.1837506050283755E-3</v>
      </c>
    </row>
    <row r="140" spans="1:11" x14ac:dyDescent="0.25">
      <c r="A140" s="213" t="s">
        <v>134</v>
      </c>
      <c r="B140" s="143">
        <v>73073.190286000143</v>
      </c>
      <c r="C140" s="144">
        <f t="shared" si="41"/>
        <v>3044.7162619166725</v>
      </c>
      <c r="D140" s="214">
        <f t="shared" si="42"/>
        <v>6861.3324212206708</v>
      </c>
      <c r="E140" s="20">
        <f t="shared" si="42"/>
        <v>285.8888508841946</v>
      </c>
      <c r="F140" s="239"/>
      <c r="G140" s="216">
        <f t="shared" si="43"/>
        <v>0</v>
      </c>
      <c r="H140" s="216">
        <f t="shared" si="44"/>
        <v>0</v>
      </c>
      <c r="I140" s="217">
        <f t="shared" si="44"/>
        <v>0</v>
      </c>
      <c r="K140" s="93">
        <f>B140/$B$138</f>
        <v>0.9938162493949716</v>
      </c>
    </row>
    <row r="141" spans="1:11" x14ac:dyDescent="0.25">
      <c r="A141" s="213" t="s">
        <v>136</v>
      </c>
      <c r="B141" s="143"/>
      <c r="C141" s="144">
        <f t="shared" si="41"/>
        <v>0</v>
      </c>
      <c r="D141" s="214">
        <f t="shared" si="42"/>
        <v>0</v>
      </c>
      <c r="E141" s="20">
        <f t="shared" si="42"/>
        <v>0</v>
      </c>
      <c r="F141" s="239">
        <v>0</v>
      </c>
      <c r="G141" s="216">
        <f t="shared" si="43"/>
        <v>0</v>
      </c>
      <c r="H141" s="216">
        <f t="shared" si="44"/>
        <v>0</v>
      </c>
      <c r="I141" s="217">
        <f t="shared" si="44"/>
        <v>0</v>
      </c>
      <c r="K141" s="93">
        <f>B141/$B$138</f>
        <v>0</v>
      </c>
    </row>
    <row r="142" spans="1:11" x14ac:dyDescent="0.25">
      <c r="A142" s="213" t="s">
        <v>137</v>
      </c>
      <c r="B142" s="143"/>
      <c r="C142" s="144">
        <f t="shared" si="41"/>
        <v>0</v>
      </c>
      <c r="D142" s="214">
        <f t="shared" si="42"/>
        <v>0</v>
      </c>
      <c r="E142" s="20">
        <f t="shared" si="42"/>
        <v>0</v>
      </c>
      <c r="F142" s="239">
        <v>0</v>
      </c>
      <c r="G142" s="216">
        <f t="shared" si="43"/>
        <v>0</v>
      </c>
      <c r="H142" s="216">
        <f t="shared" si="44"/>
        <v>0</v>
      </c>
      <c r="I142" s="217">
        <f t="shared" si="44"/>
        <v>0</v>
      </c>
      <c r="K142" s="93">
        <f>B142/$B$138</f>
        <v>0</v>
      </c>
    </row>
    <row r="143" spans="1:11" ht="17.25" thickBot="1" x14ac:dyDescent="0.3">
      <c r="A143" s="225" t="s">
        <v>139</v>
      </c>
      <c r="B143" s="184"/>
      <c r="C143" s="185">
        <f t="shared" si="41"/>
        <v>0</v>
      </c>
      <c r="D143" s="226">
        <f t="shared" si="42"/>
        <v>0</v>
      </c>
      <c r="E143" s="21">
        <f t="shared" si="42"/>
        <v>0</v>
      </c>
      <c r="F143" s="239">
        <v>0</v>
      </c>
      <c r="G143" s="228">
        <f t="shared" si="43"/>
        <v>0</v>
      </c>
      <c r="H143" s="228">
        <f t="shared" si="44"/>
        <v>0</v>
      </c>
      <c r="I143" s="229">
        <f t="shared" si="44"/>
        <v>0</v>
      </c>
      <c r="K143" s="93">
        <f>B143/$B$138</f>
        <v>0</v>
      </c>
    </row>
    <row r="144" spans="1:11" ht="15" customHeight="1" thickBot="1" x14ac:dyDescent="0.3">
      <c r="A144" s="202" t="s">
        <v>23</v>
      </c>
      <c r="B144" s="501"/>
      <c r="C144" s="502"/>
      <c r="D144" s="502"/>
      <c r="E144" s="502"/>
      <c r="F144" s="502"/>
      <c r="G144" s="502"/>
      <c r="H144" s="502"/>
      <c r="I144" s="503"/>
    </row>
    <row r="145" spans="1:9" ht="17.25" thickBot="1" x14ac:dyDescent="0.3">
      <c r="A145" s="203" t="s">
        <v>122</v>
      </c>
      <c r="B145" s="238">
        <v>1000</v>
      </c>
      <c r="C145" s="243">
        <f t="shared" ref="C145:C156" si="45">B145/$N$1</f>
        <v>41.666666666666664</v>
      </c>
      <c r="D145" s="244">
        <f t="shared" ref="D145:E156" si="46">B145/10.65</f>
        <v>93.896713615023472</v>
      </c>
      <c r="E145" s="207">
        <f t="shared" si="46"/>
        <v>3.9123630672926444</v>
      </c>
      <c r="F145" s="238">
        <v>1000</v>
      </c>
      <c r="G145" s="206">
        <f t="shared" ref="G145:G156" si="47">F145/$N$1</f>
        <v>41.666666666666664</v>
      </c>
      <c r="H145" s="206">
        <f t="shared" ref="H145:I156" si="48">F145/10.65</f>
        <v>93.896713615023472</v>
      </c>
      <c r="I145" s="207">
        <f t="shared" si="48"/>
        <v>3.9123630672926444</v>
      </c>
    </row>
    <row r="146" spans="1:9" x14ac:dyDescent="0.25">
      <c r="A146" s="208" t="s">
        <v>123</v>
      </c>
      <c r="B146" s="245"/>
      <c r="C146" s="246">
        <f t="shared" si="45"/>
        <v>0</v>
      </c>
      <c r="D146" s="247">
        <f t="shared" si="46"/>
        <v>0</v>
      </c>
      <c r="E146" s="212">
        <f t="shared" si="46"/>
        <v>0</v>
      </c>
      <c r="F146" s="239"/>
      <c r="G146" s="211">
        <f t="shared" si="47"/>
        <v>0</v>
      </c>
      <c r="H146" s="211">
        <f t="shared" si="48"/>
        <v>0</v>
      </c>
      <c r="I146" s="212">
        <f t="shared" si="48"/>
        <v>0</v>
      </c>
    </row>
    <row r="147" spans="1:9" x14ac:dyDescent="0.25">
      <c r="A147" s="213" t="s">
        <v>124</v>
      </c>
      <c r="B147" s="248"/>
      <c r="C147" s="249">
        <f t="shared" si="45"/>
        <v>0</v>
      </c>
      <c r="D147" s="250">
        <f t="shared" si="46"/>
        <v>0</v>
      </c>
      <c r="E147" s="217">
        <f t="shared" si="46"/>
        <v>0</v>
      </c>
      <c r="F147" s="251"/>
      <c r="G147" s="216">
        <f t="shared" si="47"/>
        <v>0</v>
      </c>
      <c r="H147" s="216">
        <f t="shared" si="48"/>
        <v>0</v>
      </c>
      <c r="I147" s="217">
        <f t="shared" si="48"/>
        <v>0</v>
      </c>
    </row>
    <row r="148" spans="1:9" x14ac:dyDescent="0.25">
      <c r="A148" s="213" t="s">
        <v>126</v>
      </c>
      <c r="B148" s="248"/>
      <c r="C148" s="249">
        <f t="shared" si="45"/>
        <v>0</v>
      </c>
      <c r="D148" s="250">
        <f t="shared" si="46"/>
        <v>0</v>
      </c>
      <c r="E148" s="217">
        <f t="shared" si="46"/>
        <v>0</v>
      </c>
      <c r="F148" s="251"/>
      <c r="G148" s="216">
        <f t="shared" si="47"/>
        <v>0</v>
      </c>
      <c r="H148" s="216">
        <f t="shared" si="48"/>
        <v>0</v>
      </c>
      <c r="I148" s="217">
        <f t="shared" si="48"/>
        <v>0</v>
      </c>
    </row>
    <row r="149" spans="1:9" x14ac:dyDescent="0.25">
      <c r="A149" s="213" t="s">
        <v>128</v>
      </c>
      <c r="B149" s="248"/>
      <c r="C149" s="249">
        <f t="shared" si="45"/>
        <v>0</v>
      </c>
      <c r="D149" s="250">
        <f t="shared" si="46"/>
        <v>0</v>
      </c>
      <c r="E149" s="217">
        <f t="shared" si="46"/>
        <v>0</v>
      </c>
      <c r="F149" s="251"/>
      <c r="G149" s="216">
        <f t="shared" si="47"/>
        <v>0</v>
      </c>
      <c r="H149" s="216">
        <f t="shared" si="48"/>
        <v>0</v>
      </c>
      <c r="I149" s="217">
        <f t="shared" si="48"/>
        <v>0</v>
      </c>
    </row>
    <row r="150" spans="1:9" ht="17.25" thickBot="1" x14ac:dyDescent="0.3">
      <c r="A150" s="218" t="s">
        <v>129</v>
      </c>
      <c r="B150" s="252">
        <v>1000</v>
      </c>
      <c r="C150" s="253">
        <f t="shared" si="45"/>
        <v>41.666666666666664</v>
      </c>
      <c r="D150" s="254">
        <f t="shared" si="46"/>
        <v>93.896713615023472</v>
      </c>
      <c r="E150" s="222">
        <f t="shared" si="46"/>
        <v>3.9123630672926444</v>
      </c>
      <c r="F150" s="255">
        <v>1000</v>
      </c>
      <c r="G150" s="221">
        <f t="shared" si="47"/>
        <v>41.666666666666664</v>
      </c>
      <c r="H150" s="221">
        <f t="shared" si="48"/>
        <v>93.896713615023472</v>
      </c>
      <c r="I150" s="222">
        <f t="shared" si="48"/>
        <v>3.9123630672926444</v>
      </c>
    </row>
    <row r="151" spans="1:9" ht="17.25" thickBot="1" x14ac:dyDescent="0.3">
      <c r="A151" s="223" t="s">
        <v>132</v>
      </c>
      <c r="B151" s="240">
        <v>1000</v>
      </c>
      <c r="C151" s="256">
        <f t="shared" si="45"/>
        <v>41.666666666666664</v>
      </c>
      <c r="D151" s="257">
        <f t="shared" si="46"/>
        <v>93.896713615023472</v>
      </c>
      <c r="E151" s="233">
        <f t="shared" si="46"/>
        <v>3.9123630672926444</v>
      </c>
      <c r="F151" s="240">
        <v>0</v>
      </c>
      <c r="G151" s="232">
        <f t="shared" si="47"/>
        <v>0</v>
      </c>
      <c r="H151" s="232">
        <f t="shared" si="48"/>
        <v>0</v>
      </c>
      <c r="I151" s="233">
        <f t="shared" si="48"/>
        <v>0</v>
      </c>
    </row>
    <row r="152" spans="1:9" x14ac:dyDescent="0.25">
      <c r="A152" s="208" t="s">
        <v>133</v>
      </c>
      <c r="B152" s="245"/>
      <c r="C152" s="246">
        <f t="shared" si="45"/>
        <v>0</v>
      </c>
      <c r="D152" s="247">
        <f t="shared" si="46"/>
        <v>0</v>
      </c>
      <c r="E152" s="212">
        <f t="shared" si="46"/>
        <v>0</v>
      </c>
      <c r="F152" s="239"/>
      <c r="G152" s="211">
        <f t="shared" si="47"/>
        <v>0</v>
      </c>
      <c r="H152" s="211">
        <f t="shared" si="48"/>
        <v>0</v>
      </c>
      <c r="I152" s="212">
        <f t="shared" si="48"/>
        <v>0</v>
      </c>
    </row>
    <row r="153" spans="1:9" x14ac:dyDescent="0.25">
      <c r="A153" s="213" t="s">
        <v>134</v>
      </c>
      <c r="B153" s="248">
        <v>1000</v>
      </c>
      <c r="C153" s="249">
        <f t="shared" si="45"/>
        <v>41.666666666666664</v>
      </c>
      <c r="D153" s="250">
        <f t="shared" si="46"/>
        <v>93.896713615023472</v>
      </c>
      <c r="E153" s="217">
        <f t="shared" si="46"/>
        <v>3.9123630672926444</v>
      </c>
      <c r="F153" s="251">
        <v>0</v>
      </c>
      <c r="G153" s="216">
        <f t="shared" si="47"/>
        <v>0</v>
      </c>
      <c r="H153" s="216">
        <f t="shared" si="48"/>
        <v>0</v>
      </c>
      <c r="I153" s="217">
        <f t="shared" si="48"/>
        <v>0</v>
      </c>
    </row>
    <row r="154" spans="1:9" x14ac:dyDescent="0.25">
      <c r="A154" s="213" t="s">
        <v>136</v>
      </c>
      <c r="B154" s="248"/>
      <c r="C154" s="249">
        <f t="shared" si="45"/>
        <v>0</v>
      </c>
      <c r="D154" s="250">
        <f t="shared" si="46"/>
        <v>0</v>
      </c>
      <c r="E154" s="217">
        <f t="shared" si="46"/>
        <v>0</v>
      </c>
      <c r="F154" s="251"/>
      <c r="G154" s="216">
        <f t="shared" si="47"/>
        <v>0</v>
      </c>
      <c r="H154" s="216">
        <f t="shared" si="48"/>
        <v>0</v>
      </c>
      <c r="I154" s="217">
        <f t="shared" si="48"/>
        <v>0</v>
      </c>
    </row>
    <row r="155" spans="1:9" x14ac:dyDescent="0.25">
      <c r="A155" s="213" t="s">
        <v>137</v>
      </c>
      <c r="B155" s="248"/>
      <c r="C155" s="249">
        <f t="shared" si="45"/>
        <v>0</v>
      </c>
      <c r="D155" s="250">
        <f t="shared" si="46"/>
        <v>0</v>
      </c>
      <c r="E155" s="217">
        <f t="shared" si="46"/>
        <v>0</v>
      </c>
      <c r="F155" s="251"/>
      <c r="G155" s="216">
        <f t="shared" si="47"/>
        <v>0</v>
      </c>
      <c r="H155" s="216">
        <f t="shared" si="48"/>
        <v>0</v>
      </c>
      <c r="I155" s="217">
        <f t="shared" si="48"/>
        <v>0</v>
      </c>
    </row>
    <row r="156" spans="1:9" ht="17.25" thickBot="1" x14ac:dyDescent="0.3">
      <c r="A156" s="225" t="s">
        <v>139</v>
      </c>
      <c r="B156" s="258"/>
      <c r="C156" s="259">
        <f t="shared" si="45"/>
        <v>0</v>
      </c>
      <c r="D156" s="260">
        <f t="shared" si="46"/>
        <v>0</v>
      </c>
      <c r="E156" s="229">
        <f t="shared" si="46"/>
        <v>0</v>
      </c>
      <c r="F156" s="261"/>
      <c r="G156" s="228">
        <f t="shared" si="47"/>
        <v>0</v>
      </c>
      <c r="H156" s="228">
        <f t="shared" si="48"/>
        <v>0</v>
      </c>
      <c r="I156" s="229">
        <f t="shared" si="48"/>
        <v>0</v>
      </c>
    </row>
    <row r="157" spans="1:9" ht="17.25" thickBot="1" x14ac:dyDescent="0.3">
      <c r="A157" s="202" t="s">
        <v>24</v>
      </c>
      <c r="B157" s="504"/>
      <c r="C157" s="505"/>
      <c r="D157" s="505"/>
      <c r="E157" s="505"/>
      <c r="F157" s="505"/>
      <c r="G157" s="505"/>
      <c r="H157" s="505"/>
      <c r="I157" s="506"/>
    </row>
    <row r="158" spans="1:9" ht="17.25" thickBot="1" x14ac:dyDescent="0.3">
      <c r="A158" s="203" t="s">
        <v>122</v>
      </c>
      <c r="B158" s="238">
        <v>1000</v>
      </c>
      <c r="C158" s="243">
        <f t="shared" ref="C158:C169" si="49">B158/$N$1</f>
        <v>41.666666666666664</v>
      </c>
      <c r="D158" s="244">
        <f t="shared" ref="D158:E169" si="50">B158/10.65</f>
        <v>93.896713615023472</v>
      </c>
      <c r="E158" s="207">
        <f t="shared" si="50"/>
        <v>3.9123630672926444</v>
      </c>
      <c r="F158" s="238">
        <v>1000</v>
      </c>
      <c r="G158" s="206">
        <f t="shared" ref="G158:G169" si="51">F158/$N$1</f>
        <v>41.666666666666664</v>
      </c>
      <c r="H158" s="206">
        <f t="shared" ref="H158:I169" si="52">F158/10.65</f>
        <v>93.896713615023472</v>
      </c>
      <c r="I158" s="207">
        <f t="shared" si="52"/>
        <v>3.9123630672926444</v>
      </c>
    </row>
    <row r="159" spans="1:9" x14ac:dyDescent="0.25">
      <c r="A159" s="213" t="s">
        <v>124</v>
      </c>
      <c r="B159" s="248"/>
      <c r="C159" s="249">
        <f t="shared" si="49"/>
        <v>0</v>
      </c>
      <c r="D159" s="250">
        <f t="shared" si="50"/>
        <v>0</v>
      </c>
      <c r="E159" s="217">
        <f t="shared" si="50"/>
        <v>0</v>
      </c>
      <c r="F159" s="251"/>
      <c r="G159" s="216">
        <f t="shared" si="51"/>
        <v>0</v>
      </c>
      <c r="H159" s="216">
        <f t="shared" si="52"/>
        <v>0</v>
      </c>
      <c r="I159" s="217">
        <f t="shared" si="52"/>
        <v>0</v>
      </c>
    </row>
    <row r="160" spans="1:9" x14ac:dyDescent="0.25">
      <c r="A160" s="213" t="s">
        <v>126</v>
      </c>
      <c r="B160" s="248"/>
      <c r="C160" s="249">
        <f t="shared" si="49"/>
        <v>0</v>
      </c>
      <c r="D160" s="250">
        <f t="shared" si="50"/>
        <v>0</v>
      </c>
      <c r="E160" s="217">
        <f t="shared" si="50"/>
        <v>0</v>
      </c>
      <c r="F160" s="251"/>
      <c r="G160" s="216">
        <f t="shared" si="51"/>
        <v>0</v>
      </c>
      <c r="H160" s="216">
        <f t="shared" si="52"/>
        <v>0</v>
      </c>
      <c r="I160" s="217">
        <f t="shared" si="52"/>
        <v>0</v>
      </c>
    </row>
    <row r="161" spans="1:9" x14ac:dyDescent="0.25">
      <c r="A161" s="213" t="s">
        <v>128</v>
      </c>
      <c r="B161" s="248"/>
      <c r="C161" s="249">
        <f t="shared" si="49"/>
        <v>0</v>
      </c>
      <c r="D161" s="250">
        <f t="shared" si="50"/>
        <v>0</v>
      </c>
      <c r="E161" s="217">
        <f t="shared" si="50"/>
        <v>0</v>
      </c>
      <c r="F161" s="251"/>
      <c r="G161" s="216">
        <f t="shared" si="51"/>
        <v>0</v>
      </c>
      <c r="H161" s="216">
        <f t="shared" si="52"/>
        <v>0</v>
      </c>
      <c r="I161" s="217">
        <f t="shared" si="52"/>
        <v>0</v>
      </c>
    </row>
    <row r="162" spans="1:9" ht="17.25" thickBot="1" x14ac:dyDescent="0.3">
      <c r="A162" s="218" t="s">
        <v>129</v>
      </c>
      <c r="B162" s="252">
        <v>1000</v>
      </c>
      <c r="C162" s="253">
        <f t="shared" si="49"/>
        <v>41.666666666666664</v>
      </c>
      <c r="D162" s="254">
        <f t="shared" si="50"/>
        <v>93.896713615023472</v>
      </c>
      <c r="E162" s="222">
        <f t="shared" si="50"/>
        <v>3.9123630672926444</v>
      </c>
      <c r="F162" s="255">
        <v>1000</v>
      </c>
      <c r="G162" s="221">
        <f t="shared" si="51"/>
        <v>41.666666666666664</v>
      </c>
      <c r="H162" s="221">
        <f t="shared" si="52"/>
        <v>93.896713615023472</v>
      </c>
      <c r="I162" s="222">
        <f t="shared" si="52"/>
        <v>3.9123630672926444</v>
      </c>
    </row>
    <row r="163" spans="1:9" ht="17.25" thickBot="1" x14ac:dyDescent="0.3">
      <c r="A163" s="223" t="s">
        <v>132</v>
      </c>
      <c r="B163" s="240">
        <v>1000</v>
      </c>
      <c r="C163" s="256">
        <f t="shared" si="49"/>
        <v>41.666666666666664</v>
      </c>
      <c r="D163" s="257">
        <f t="shared" si="50"/>
        <v>93.896713615023472</v>
      </c>
      <c r="E163" s="233">
        <f t="shared" si="50"/>
        <v>3.9123630672926444</v>
      </c>
      <c r="F163" s="240">
        <v>0</v>
      </c>
      <c r="G163" s="232">
        <f t="shared" si="51"/>
        <v>0</v>
      </c>
      <c r="H163" s="232">
        <f t="shared" si="52"/>
        <v>0</v>
      </c>
      <c r="I163" s="233">
        <f t="shared" si="52"/>
        <v>0</v>
      </c>
    </row>
    <row r="164" spans="1:9" x14ac:dyDescent="0.25">
      <c r="A164" s="208" t="s">
        <v>133</v>
      </c>
      <c r="B164" s="245"/>
      <c r="C164" s="246">
        <f t="shared" si="49"/>
        <v>0</v>
      </c>
      <c r="D164" s="247">
        <f t="shared" si="50"/>
        <v>0</v>
      </c>
      <c r="E164" s="212">
        <f t="shared" si="50"/>
        <v>0</v>
      </c>
      <c r="F164" s="239"/>
      <c r="G164" s="211">
        <f t="shared" si="51"/>
        <v>0</v>
      </c>
      <c r="H164" s="211">
        <f t="shared" si="52"/>
        <v>0</v>
      </c>
      <c r="I164" s="212">
        <f t="shared" si="52"/>
        <v>0</v>
      </c>
    </row>
    <row r="165" spans="1:9" x14ac:dyDescent="0.25">
      <c r="A165" s="213" t="s">
        <v>134</v>
      </c>
      <c r="B165" s="248">
        <v>0</v>
      </c>
      <c r="C165" s="249">
        <f t="shared" si="49"/>
        <v>0</v>
      </c>
      <c r="D165" s="250">
        <f t="shared" si="50"/>
        <v>0</v>
      </c>
      <c r="E165" s="217">
        <f t="shared" si="50"/>
        <v>0</v>
      </c>
      <c r="F165" s="251">
        <v>0</v>
      </c>
      <c r="G165" s="216">
        <f t="shared" si="51"/>
        <v>0</v>
      </c>
      <c r="H165" s="216">
        <f t="shared" si="52"/>
        <v>0</v>
      </c>
      <c r="I165" s="217">
        <f t="shared" si="52"/>
        <v>0</v>
      </c>
    </row>
    <row r="166" spans="1:9" x14ac:dyDescent="0.25">
      <c r="A166" s="213" t="s">
        <v>135</v>
      </c>
      <c r="B166" s="248">
        <v>1000</v>
      </c>
      <c r="C166" s="249">
        <f t="shared" si="49"/>
        <v>41.666666666666664</v>
      </c>
      <c r="D166" s="250">
        <f t="shared" si="50"/>
        <v>93.896713615023472</v>
      </c>
      <c r="E166" s="217">
        <f t="shared" si="50"/>
        <v>3.9123630672926444</v>
      </c>
      <c r="F166" s="251"/>
      <c r="G166" s="216">
        <f t="shared" si="51"/>
        <v>0</v>
      </c>
      <c r="H166" s="216">
        <f t="shared" si="52"/>
        <v>0</v>
      </c>
      <c r="I166" s="217">
        <f t="shared" si="52"/>
        <v>0</v>
      </c>
    </row>
    <row r="167" spans="1:9" x14ac:dyDescent="0.25">
      <c r="A167" s="213" t="s">
        <v>136</v>
      </c>
      <c r="B167" s="248"/>
      <c r="C167" s="249">
        <f t="shared" si="49"/>
        <v>0</v>
      </c>
      <c r="D167" s="250">
        <f t="shared" si="50"/>
        <v>0</v>
      </c>
      <c r="E167" s="217">
        <f t="shared" si="50"/>
        <v>0</v>
      </c>
      <c r="F167" s="251"/>
      <c r="G167" s="216">
        <f t="shared" si="51"/>
        <v>0</v>
      </c>
      <c r="H167" s="216">
        <f t="shared" si="52"/>
        <v>0</v>
      </c>
      <c r="I167" s="217">
        <f t="shared" si="52"/>
        <v>0</v>
      </c>
    </row>
    <row r="168" spans="1:9" x14ac:dyDescent="0.25">
      <c r="A168" s="213" t="s">
        <v>137</v>
      </c>
      <c r="B168" s="248"/>
      <c r="C168" s="249">
        <f t="shared" si="49"/>
        <v>0</v>
      </c>
      <c r="D168" s="250">
        <f t="shared" si="50"/>
        <v>0</v>
      </c>
      <c r="E168" s="217">
        <f t="shared" si="50"/>
        <v>0</v>
      </c>
      <c r="F168" s="251"/>
      <c r="G168" s="216">
        <f t="shared" si="51"/>
        <v>0</v>
      </c>
      <c r="H168" s="216">
        <f t="shared" si="52"/>
        <v>0</v>
      </c>
      <c r="I168" s="217">
        <f t="shared" si="52"/>
        <v>0</v>
      </c>
    </row>
    <row r="169" spans="1:9" ht="17.25" thickBot="1" x14ac:dyDescent="0.3">
      <c r="A169" s="225" t="s">
        <v>139</v>
      </c>
      <c r="B169" s="258"/>
      <c r="C169" s="259">
        <f t="shared" si="49"/>
        <v>0</v>
      </c>
      <c r="D169" s="260">
        <f t="shared" si="50"/>
        <v>0</v>
      </c>
      <c r="E169" s="229">
        <f t="shared" si="50"/>
        <v>0</v>
      </c>
      <c r="F169" s="261"/>
      <c r="G169" s="228">
        <f t="shared" si="51"/>
        <v>0</v>
      </c>
      <c r="H169" s="228">
        <f t="shared" si="52"/>
        <v>0</v>
      </c>
      <c r="I169" s="229">
        <f t="shared" si="52"/>
        <v>0</v>
      </c>
    </row>
    <row r="170" spans="1:9" ht="17.25" thickBot="1" x14ac:dyDescent="0.3">
      <c r="A170" s="262" t="s">
        <v>25</v>
      </c>
      <c r="B170" s="504"/>
      <c r="C170" s="505"/>
      <c r="D170" s="505"/>
      <c r="E170" s="505"/>
      <c r="F170" s="505"/>
      <c r="G170" s="505"/>
      <c r="H170" s="505"/>
      <c r="I170" s="506"/>
    </row>
    <row r="171" spans="1:9" ht="17.25" thickBot="1" x14ac:dyDescent="0.3">
      <c r="A171" s="203" t="s">
        <v>122</v>
      </c>
      <c r="B171" s="263">
        <v>1000</v>
      </c>
      <c r="C171" s="264">
        <f t="shared" ref="C171:C182" si="53">B171/$N$1</f>
        <v>41.666666666666664</v>
      </c>
      <c r="D171" s="265">
        <f t="shared" ref="D171:E182" si="54">B171/10.65</f>
        <v>93.896713615023472</v>
      </c>
      <c r="E171" s="266">
        <f t="shared" si="54"/>
        <v>3.9123630672926444</v>
      </c>
      <c r="F171" s="263">
        <v>1000</v>
      </c>
      <c r="G171" s="267">
        <f t="shared" ref="G171:G182" si="55">F171/$N$1</f>
        <v>41.666666666666664</v>
      </c>
      <c r="H171" s="267">
        <f t="shared" ref="H171:I182" si="56">F171/10.65</f>
        <v>93.896713615023472</v>
      </c>
      <c r="I171" s="266">
        <f t="shared" si="56"/>
        <v>3.9123630672926444</v>
      </c>
    </row>
    <row r="172" spans="1:9" x14ac:dyDescent="0.25">
      <c r="A172" s="213" t="s">
        <v>124</v>
      </c>
      <c r="B172" s="268"/>
      <c r="C172" s="269">
        <f t="shared" si="53"/>
        <v>0</v>
      </c>
      <c r="D172" s="270">
        <f t="shared" si="54"/>
        <v>0</v>
      </c>
      <c r="E172" s="271">
        <f t="shared" si="54"/>
        <v>0</v>
      </c>
      <c r="F172" s="272"/>
      <c r="G172" s="273">
        <f t="shared" si="55"/>
        <v>0</v>
      </c>
      <c r="H172" s="273">
        <f t="shared" si="56"/>
        <v>0</v>
      </c>
      <c r="I172" s="271">
        <f t="shared" si="56"/>
        <v>0</v>
      </c>
    </row>
    <row r="173" spans="1:9" x14ac:dyDescent="0.25">
      <c r="A173" s="213" t="s">
        <v>126</v>
      </c>
      <c r="B173" s="268"/>
      <c r="C173" s="269">
        <f t="shared" si="53"/>
        <v>0</v>
      </c>
      <c r="D173" s="270">
        <f t="shared" si="54"/>
        <v>0</v>
      </c>
      <c r="E173" s="271">
        <f t="shared" si="54"/>
        <v>0</v>
      </c>
      <c r="F173" s="272"/>
      <c r="G173" s="273">
        <f t="shared" si="55"/>
        <v>0</v>
      </c>
      <c r="H173" s="273">
        <f t="shared" si="56"/>
        <v>0</v>
      </c>
      <c r="I173" s="271">
        <f t="shared" si="56"/>
        <v>0</v>
      </c>
    </row>
    <row r="174" spans="1:9" x14ac:dyDescent="0.25">
      <c r="A174" s="213" t="s">
        <v>128</v>
      </c>
      <c r="B174" s="268"/>
      <c r="C174" s="269">
        <f t="shared" si="53"/>
        <v>0</v>
      </c>
      <c r="D174" s="270">
        <f t="shared" si="54"/>
        <v>0</v>
      </c>
      <c r="E174" s="271">
        <f t="shared" si="54"/>
        <v>0</v>
      </c>
      <c r="F174" s="272"/>
      <c r="G174" s="273">
        <f t="shared" si="55"/>
        <v>0</v>
      </c>
      <c r="H174" s="273">
        <f t="shared" si="56"/>
        <v>0</v>
      </c>
      <c r="I174" s="271">
        <f t="shared" si="56"/>
        <v>0</v>
      </c>
    </row>
    <row r="175" spans="1:9" ht="17.25" thickBot="1" x14ac:dyDescent="0.3">
      <c r="A175" s="218" t="s">
        <v>129</v>
      </c>
      <c r="B175" s="274">
        <v>1000</v>
      </c>
      <c r="C175" s="275">
        <f t="shared" si="53"/>
        <v>41.666666666666664</v>
      </c>
      <c r="D175" s="276">
        <f t="shared" si="54"/>
        <v>93.896713615023472</v>
      </c>
      <c r="E175" s="277">
        <f t="shared" si="54"/>
        <v>3.9123630672926444</v>
      </c>
      <c r="F175" s="278">
        <v>1000</v>
      </c>
      <c r="G175" s="279">
        <f t="shared" si="55"/>
        <v>41.666666666666664</v>
      </c>
      <c r="H175" s="279">
        <f t="shared" si="56"/>
        <v>93.896713615023472</v>
      </c>
      <c r="I175" s="277">
        <f t="shared" si="56"/>
        <v>3.9123630672926444</v>
      </c>
    </row>
    <row r="176" spans="1:9" ht="17.25" thickBot="1" x14ac:dyDescent="0.3">
      <c r="A176" s="223" t="s">
        <v>132</v>
      </c>
      <c r="B176" s="263">
        <v>1000</v>
      </c>
      <c r="C176" s="264">
        <f t="shared" si="53"/>
        <v>41.666666666666664</v>
      </c>
      <c r="D176" s="265">
        <f t="shared" si="54"/>
        <v>93.896713615023472</v>
      </c>
      <c r="E176" s="266">
        <f t="shared" si="54"/>
        <v>3.9123630672926444</v>
      </c>
      <c r="F176" s="263">
        <v>0</v>
      </c>
      <c r="G176" s="267">
        <f t="shared" si="55"/>
        <v>0</v>
      </c>
      <c r="H176" s="267">
        <f t="shared" si="56"/>
        <v>0</v>
      </c>
      <c r="I176" s="266">
        <f t="shared" si="56"/>
        <v>0</v>
      </c>
    </row>
    <row r="177" spans="1:9" x14ac:dyDescent="0.25">
      <c r="A177" s="208" t="s">
        <v>133</v>
      </c>
      <c r="B177" s="280"/>
      <c r="C177" s="281">
        <f t="shared" si="53"/>
        <v>0</v>
      </c>
      <c r="D177" s="282">
        <f t="shared" si="54"/>
        <v>0</v>
      </c>
      <c r="E177" s="283">
        <f t="shared" si="54"/>
        <v>0</v>
      </c>
      <c r="F177" s="284"/>
      <c r="G177" s="285">
        <f t="shared" si="55"/>
        <v>0</v>
      </c>
      <c r="H177" s="285">
        <f t="shared" si="56"/>
        <v>0</v>
      </c>
      <c r="I177" s="283">
        <f t="shared" si="56"/>
        <v>0</v>
      </c>
    </row>
    <row r="178" spans="1:9" x14ac:dyDescent="0.25">
      <c r="A178" s="213" t="s">
        <v>134</v>
      </c>
      <c r="B178" s="268">
        <v>0</v>
      </c>
      <c r="C178" s="269">
        <f t="shared" si="53"/>
        <v>0</v>
      </c>
      <c r="D178" s="270">
        <f t="shared" si="54"/>
        <v>0</v>
      </c>
      <c r="E178" s="271">
        <f t="shared" si="54"/>
        <v>0</v>
      </c>
      <c r="F178" s="272">
        <v>0</v>
      </c>
      <c r="G178" s="273">
        <f t="shared" si="55"/>
        <v>0</v>
      </c>
      <c r="H178" s="273">
        <f t="shared" si="56"/>
        <v>0</v>
      </c>
      <c r="I178" s="271">
        <f t="shared" si="56"/>
        <v>0</v>
      </c>
    </row>
    <row r="179" spans="1:9" x14ac:dyDescent="0.25">
      <c r="A179" s="213" t="s">
        <v>135</v>
      </c>
      <c r="B179" s="268">
        <v>1000</v>
      </c>
      <c r="C179" s="269">
        <f t="shared" si="53"/>
        <v>41.666666666666664</v>
      </c>
      <c r="D179" s="270">
        <f t="shared" si="54"/>
        <v>93.896713615023472</v>
      </c>
      <c r="E179" s="271">
        <f t="shared" si="54"/>
        <v>3.9123630672926444</v>
      </c>
      <c r="F179" s="272"/>
      <c r="G179" s="273">
        <f t="shared" si="55"/>
        <v>0</v>
      </c>
      <c r="H179" s="273">
        <f t="shared" si="56"/>
        <v>0</v>
      </c>
      <c r="I179" s="271">
        <f t="shared" si="56"/>
        <v>0</v>
      </c>
    </row>
    <row r="180" spans="1:9" x14ac:dyDescent="0.25">
      <c r="A180" s="213" t="s">
        <v>136</v>
      </c>
      <c r="B180" s="268"/>
      <c r="C180" s="269">
        <f t="shared" si="53"/>
        <v>0</v>
      </c>
      <c r="D180" s="270">
        <f t="shared" si="54"/>
        <v>0</v>
      </c>
      <c r="E180" s="271">
        <f t="shared" si="54"/>
        <v>0</v>
      </c>
      <c r="F180" s="272"/>
      <c r="G180" s="273">
        <f t="shared" si="55"/>
        <v>0</v>
      </c>
      <c r="H180" s="273">
        <f t="shared" si="56"/>
        <v>0</v>
      </c>
      <c r="I180" s="271">
        <f t="shared" si="56"/>
        <v>0</v>
      </c>
    </row>
    <row r="181" spans="1:9" x14ac:dyDescent="0.25">
      <c r="A181" s="213" t="s">
        <v>137</v>
      </c>
      <c r="B181" s="268"/>
      <c r="C181" s="269">
        <f t="shared" si="53"/>
        <v>0</v>
      </c>
      <c r="D181" s="270">
        <f t="shared" si="54"/>
        <v>0</v>
      </c>
      <c r="E181" s="271">
        <f t="shared" si="54"/>
        <v>0</v>
      </c>
      <c r="F181" s="272"/>
      <c r="G181" s="273">
        <f t="shared" si="55"/>
        <v>0</v>
      </c>
      <c r="H181" s="273">
        <f t="shared" si="56"/>
        <v>0</v>
      </c>
      <c r="I181" s="271">
        <f t="shared" si="56"/>
        <v>0</v>
      </c>
    </row>
    <row r="182" spans="1:9" ht="17.25" thickBot="1" x14ac:dyDescent="0.3">
      <c r="A182" s="225" t="s">
        <v>139</v>
      </c>
      <c r="B182" s="286"/>
      <c r="C182" s="287">
        <f t="shared" si="53"/>
        <v>0</v>
      </c>
      <c r="D182" s="288">
        <f t="shared" si="54"/>
        <v>0</v>
      </c>
      <c r="E182" s="289">
        <f t="shared" si="54"/>
        <v>0</v>
      </c>
      <c r="F182" s="290"/>
      <c r="G182" s="291">
        <f t="shared" si="55"/>
        <v>0</v>
      </c>
      <c r="H182" s="291">
        <f t="shared" si="56"/>
        <v>0</v>
      </c>
      <c r="I182" s="289">
        <f t="shared" si="56"/>
        <v>0</v>
      </c>
    </row>
    <row r="183" spans="1:9" ht="17.25" thickBot="1" x14ac:dyDescent="0.3">
      <c r="A183" s="202" t="s">
        <v>26</v>
      </c>
      <c r="B183" s="504"/>
      <c r="C183" s="505"/>
      <c r="D183" s="505"/>
      <c r="E183" s="505"/>
      <c r="F183" s="505"/>
      <c r="G183" s="505"/>
      <c r="H183" s="505"/>
      <c r="I183" s="506"/>
    </row>
    <row r="184" spans="1:9" ht="17.25" thickBot="1" x14ac:dyDescent="0.3">
      <c r="A184" s="203" t="s">
        <v>122</v>
      </c>
      <c r="B184" s="238">
        <v>1000</v>
      </c>
      <c r="C184" s="243">
        <f t="shared" ref="C184:C195" si="57">B184/$N$1</f>
        <v>41.666666666666664</v>
      </c>
      <c r="D184" s="244">
        <f t="shared" ref="D184:E195" si="58">B184/10.65</f>
        <v>93.896713615023472</v>
      </c>
      <c r="E184" s="207">
        <f t="shared" si="58"/>
        <v>3.9123630672926444</v>
      </c>
      <c r="F184" s="238">
        <v>1000</v>
      </c>
      <c r="G184" s="206">
        <f t="shared" ref="G184:G195" si="59">F184/$N$1</f>
        <v>41.666666666666664</v>
      </c>
      <c r="H184" s="206">
        <f t="shared" ref="H184:I195" si="60">F184/10.65</f>
        <v>93.896713615023472</v>
      </c>
      <c r="I184" s="207">
        <f t="shared" si="60"/>
        <v>3.9123630672926444</v>
      </c>
    </row>
    <row r="185" spans="1:9" x14ac:dyDescent="0.25">
      <c r="A185" s="213" t="s">
        <v>124</v>
      </c>
      <c r="B185" s="248"/>
      <c r="C185" s="249">
        <f t="shared" si="57"/>
        <v>0</v>
      </c>
      <c r="D185" s="250">
        <f t="shared" si="58"/>
        <v>0</v>
      </c>
      <c r="E185" s="217">
        <f t="shared" si="58"/>
        <v>0</v>
      </c>
      <c r="F185" s="251"/>
      <c r="G185" s="216">
        <f t="shared" si="59"/>
        <v>0</v>
      </c>
      <c r="H185" s="216">
        <f t="shared" si="60"/>
        <v>0</v>
      </c>
      <c r="I185" s="217">
        <f t="shared" si="60"/>
        <v>0</v>
      </c>
    </row>
    <row r="186" spans="1:9" x14ac:dyDescent="0.25">
      <c r="A186" s="213" t="s">
        <v>126</v>
      </c>
      <c r="B186" s="248"/>
      <c r="C186" s="249">
        <f t="shared" si="57"/>
        <v>0</v>
      </c>
      <c r="D186" s="250">
        <f t="shared" si="58"/>
        <v>0</v>
      </c>
      <c r="E186" s="217">
        <f t="shared" si="58"/>
        <v>0</v>
      </c>
      <c r="F186" s="251"/>
      <c r="G186" s="216">
        <f t="shared" si="59"/>
        <v>0</v>
      </c>
      <c r="H186" s="216">
        <f t="shared" si="60"/>
        <v>0</v>
      </c>
      <c r="I186" s="217">
        <f t="shared" si="60"/>
        <v>0</v>
      </c>
    </row>
    <row r="187" spans="1:9" x14ac:dyDescent="0.25">
      <c r="A187" s="213" t="s">
        <v>128</v>
      </c>
      <c r="B187" s="248"/>
      <c r="C187" s="249">
        <f t="shared" si="57"/>
        <v>0</v>
      </c>
      <c r="D187" s="250">
        <f t="shared" si="58"/>
        <v>0</v>
      </c>
      <c r="E187" s="217">
        <f t="shared" si="58"/>
        <v>0</v>
      </c>
      <c r="F187" s="251"/>
      <c r="G187" s="216">
        <f t="shared" si="59"/>
        <v>0</v>
      </c>
      <c r="H187" s="216">
        <f t="shared" si="60"/>
        <v>0</v>
      </c>
      <c r="I187" s="217">
        <f t="shared" si="60"/>
        <v>0</v>
      </c>
    </row>
    <row r="188" spans="1:9" ht="17.25" thickBot="1" x14ac:dyDescent="0.3">
      <c r="A188" s="218" t="s">
        <v>129</v>
      </c>
      <c r="B188" s="252">
        <v>1000</v>
      </c>
      <c r="C188" s="253">
        <f t="shared" si="57"/>
        <v>41.666666666666664</v>
      </c>
      <c r="D188" s="254">
        <f t="shared" si="58"/>
        <v>93.896713615023472</v>
      </c>
      <c r="E188" s="222">
        <f t="shared" si="58"/>
        <v>3.9123630672926444</v>
      </c>
      <c r="F188" s="255">
        <v>1000</v>
      </c>
      <c r="G188" s="221">
        <f t="shared" si="59"/>
        <v>41.666666666666664</v>
      </c>
      <c r="H188" s="221">
        <f t="shared" si="60"/>
        <v>93.896713615023472</v>
      </c>
      <c r="I188" s="222">
        <f t="shared" si="60"/>
        <v>3.9123630672926444</v>
      </c>
    </row>
    <row r="189" spans="1:9" ht="17.25" thickBot="1" x14ac:dyDescent="0.3">
      <c r="A189" s="223" t="s">
        <v>132</v>
      </c>
      <c r="B189" s="240">
        <v>1000</v>
      </c>
      <c r="C189" s="256">
        <f t="shared" si="57"/>
        <v>41.666666666666664</v>
      </c>
      <c r="D189" s="257">
        <f t="shared" si="58"/>
        <v>93.896713615023472</v>
      </c>
      <c r="E189" s="233">
        <f t="shared" si="58"/>
        <v>3.9123630672926444</v>
      </c>
      <c r="F189" s="240">
        <v>0</v>
      </c>
      <c r="G189" s="232">
        <f t="shared" si="59"/>
        <v>0</v>
      </c>
      <c r="H189" s="232">
        <f t="shared" si="60"/>
        <v>0</v>
      </c>
      <c r="I189" s="233">
        <f t="shared" si="60"/>
        <v>0</v>
      </c>
    </row>
    <row r="190" spans="1:9" x14ac:dyDescent="0.25">
      <c r="A190" s="208" t="s">
        <v>133</v>
      </c>
      <c r="B190" s="245"/>
      <c r="C190" s="246">
        <f t="shared" si="57"/>
        <v>0</v>
      </c>
      <c r="D190" s="247">
        <f t="shared" si="58"/>
        <v>0</v>
      </c>
      <c r="E190" s="212">
        <f t="shared" si="58"/>
        <v>0</v>
      </c>
      <c r="F190" s="239"/>
      <c r="G190" s="211">
        <f t="shared" si="59"/>
        <v>0</v>
      </c>
      <c r="H190" s="211">
        <f t="shared" si="60"/>
        <v>0</v>
      </c>
      <c r="I190" s="212">
        <f t="shared" si="60"/>
        <v>0</v>
      </c>
    </row>
    <row r="191" spans="1:9" x14ac:dyDescent="0.25">
      <c r="A191" s="213" t="s">
        <v>134</v>
      </c>
      <c r="B191" s="248">
        <v>0</v>
      </c>
      <c r="C191" s="249">
        <f t="shared" si="57"/>
        <v>0</v>
      </c>
      <c r="D191" s="250">
        <f t="shared" si="58"/>
        <v>0</v>
      </c>
      <c r="E191" s="217">
        <f t="shared" si="58"/>
        <v>0</v>
      </c>
      <c r="F191" s="251">
        <v>0</v>
      </c>
      <c r="G191" s="216">
        <f t="shared" si="59"/>
        <v>0</v>
      </c>
      <c r="H191" s="216">
        <f t="shared" si="60"/>
        <v>0</v>
      </c>
      <c r="I191" s="217">
        <f t="shared" si="60"/>
        <v>0</v>
      </c>
    </row>
    <row r="192" spans="1:9" x14ac:dyDescent="0.25">
      <c r="A192" s="213" t="s">
        <v>135</v>
      </c>
      <c r="B192" s="248">
        <v>1000</v>
      </c>
      <c r="C192" s="249">
        <f t="shared" si="57"/>
        <v>41.666666666666664</v>
      </c>
      <c r="D192" s="250">
        <f t="shared" si="58"/>
        <v>93.896713615023472</v>
      </c>
      <c r="E192" s="217">
        <f t="shared" si="58"/>
        <v>3.9123630672926444</v>
      </c>
      <c r="F192" s="251"/>
      <c r="G192" s="216">
        <f t="shared" si="59"/>
        <v>0</v>
      </c>
      <c r="H192" s="216">
        <f t="shared" si="60"/>
        <v>0</v>
      </c>
      <c r="I192" s="217">
        <f t="shared" si="60"/>
        <v>0</v>
      </c>
    </row>
    <row r="193" spans="1:9" x14ac:dyDescent="0.25">
      <c r="A193" s="213" t="s">
        <v>136</v>
      </c>
      <c r="B193" s="248"/>
      <c r="C193" s="249">
        <f t="shared" si="57"/>
        <v>0</v>
      </c>
      <c r="D193" s="250">
        <f t="shared" si="58"/>
        <v>0</v>
      </c>
      <c r="E193" s="217">
        <f t="shared" si="58"/>
        <v>0</v>
      </c>
      <c r="F193" s="251"/>
      <c r="G193" s="216">
        <f t="shared" si="59"/>
        <v>0</v>
      </c>
      <c r="H193" s="216">
        <f t="shared" si="60"/>
        <v>0</v>
      </c>
      <c r="I193" s="217">
        <f t="shared" si="60"/>
        <v>0</v>
      </c>
    </row>
    <row r="194" spans="1:9" x14ac:dyDescent="0.25">
      <c r="A194" s="213" t="s">
        <v>137</v>
      </c>
      <c r="B194" s="248"/>
      <c r="C194" s="249">
        <f t="shared" si="57"/>
        <v>0</v>
      </c>
      <c r="D194" s="250">
        <f t="shared" si="58"/>
        <v>0</v>
      </c>
      <c r="E194" s="217">
        <f t="shared" si="58"/>
        <v>0</v>
      </c>
      <c r="F194" s="251"/>
      <c r="G194" s="216">
        <f t="shared" si="59"/>
        <v>0</v>
      </c>
      <c r="H194" s="216">
        <f t="shared" si="60"/>
        <v>0</v>
      </c>
      <c r="I194" s="217">
        <f t="shared" si="60"/>
        <v>0</v>
      </c>
    </row>
    <row r="195" spans="1:9" ht="17.25" thickBot="1" x14ac:dyDescent="0.3">
      <c r="A195" s="225" t="s">
        <v>139</v>
      </c>
      <c r="B195" s="258"/>
      <c r="C195" s="259">
        <f t="shared" si="57"/>
        <v>0</v>
      </c>
      <c r="D195" s="260">
        <f t="shared" si="58"/>
        <v>0</v>
      </c>
      <c r="E195" s="229">
        <f t="shared" si="58"/>
        <v>0</v>
      </c>
      <c r="F195" s="261"/>
      <c r="G195" s="228">
        <f t="shared" si="59"/>
        <v>0</v>
      </c>
      <c r="H195" s="228">
        <f t="shared" si="60"/>
        <v>0</v>
      </c>
      <c r="I195" s="229">
        <f t="shared" si="60"/>
        <v>0</v>
      </c>
    </row>
    <row r="196" spans="1:9" ht="17.25" thickBot="1" x14ac:dyDescent="0.3">
      <c r="A196" s="202" t="s">
        <v>27</v>
      </c>
      <c r="B196" s="504"/>
      <c r="C196" s="505"/>
      <c r="D196" s="505"/>
      <c r="E196" s="505"/>
      <c r="F196" s="505"/>
      <c r="G196" s="505"/>
      <c r="H196" s="505"/>
      <c r="I196" s="506"/>
    </row>
    <row r="197" spans="1:9" ht="17.25" thickBot="1" x14ac:dyDescent="0.3">
      <c r="A197" s="203" t="s">
        <v>122</v>
      </c>
      <c r="B197" s="238">
        <v>1000</v>
      </c>
      <c r="C197" s="243">
        <f t="shared" ref="C197:C208" si="61">B197/$N$1</f>
        <v>41.666666666666664</v>
      </c>
      <c r="D197" s="244">
        <f t="shared" ref="D197:E208" si="62">B197/10.65</f>
        <v>93.896713615023472</v>
      </c>
      <c r="E197" s="207">
        <f t="shared" si="62"/>
        <v>3.9123630672926444</v>
      </c>
      <c r="F197" s="238">
        <v>1000</v>
      </c>
      <c r="G197" s="206">
        <f t="shared" ref="G197:G208" si="63">F197/$N$1</f>
        <v>41.666666666666664</v>
      </c>
      <c r="H197" s="206">
        <f t="shared" ref="H197:I208" si="64">F197/10.65</f>
        <v>93.896713615023472</v>
      </c>
      <c r="I197" s="207">
        <f t="shared" si="64"/>
        <v>3.9123630672926444</v>
      </c>
    </row>
    <row r="198" spans="1:9" x14ac:dyDescent="0.25">
      <c r="A198" s="213" t="s">
        <v>124</v>
      </c>
      <c r="B198" s="248"/>
      <c r="C198" s="249">
        <f t="shared" si="61"/>
        <v>0</v>
      </c>
      <c r="D198" s="250">
        <f t="shared" si="62"/>
        <v>0</v>
      </c>
      <c r="E198" s="217">
        <f t="shared" si="62"/>
        <v>0</v>
      </c>
      <c r="F198" s="251"/>
      <c r="G198" s="216">
        <f t="shared" si="63"/>
        <v>0</v>
      </c>
      <c r="H198" s="216">
        <f t="shared" si="64"/>
        <v>0</v>
      </c>
      <c r="I198" s="217">
        <f t="shared" si="64"/>
        <v>0</v>
      </c>
    </row>
    <row r="199" spans="1:9" x14ac:dyDescent="0.25">
      <c r="A199" s="213" t="s">
        <v>126</v>
      </c>
      <c r="B199" s="248"/>
      <c r="C199" s="249">
        <f t="shared" si="61"/>
        <v>0</v>
      </c>
      <c r="D199" s="250">
        <f t="shared" si="62"/>
        <v>0</v>
      </c>
      <c r="E199" s="217">
        <f t="shared" si="62"/>
        <v>0</v>
      </c>
      <c r="F199" s="251"/>
      <c r="G199" s="216">
        <f t="shared" si="63"/>
        <v>0</v>
      </c>
      <c r="H199" s="216">
        <f t="shared" si="64"/>
        <v>0</v>
      </c>
      <c r="I199" s="217">
        <f t="shared" si="64"/>
        <v>0</v>
      </c>
    </row>
    <row r="200" spans="1:9" x14ac:dyDescent="0.25">
      <c r="A200" s="213" t="s">
        <v>128</v>
      </c>
      <c r="B200" s="248"/>
      <c r="C200" s="249">
        <f t="shared" si="61"/>
        <v>0</v>
      </c>
      <c r="D200" s="250">
        <f t="shared" si="62"/>
        <v>0</v>
      </c>
      <c r="E200" s="217">
        <f t="shared" si="62"/>
        <v>0</v>
      </c>
      <c r="F200" s="251"/>
      <c r="G200" s="216">
        <f t="shared" si="63"/>
        <v>0</v>
      </c>
      <c r="H200" s="216">
        <f t="shared" si="64"/>
        <v>0</v>
      </c>
      <c r="I200" s="217">
        <f t="shared" si="64"/>
        <v>0</v>
      </c>
    </row>
    <row r="201" spans="1:9" ht="17.25" thickBot="1" x14ac:dyDescent="0.3">
      <c r="A201" s="218" t="s">
        <v>129</v>
      </c>
      <c r="B201" s="252">
        <v>1000</v>
      </c>
      <c r="C201" s="253">
        <f t="shared" si="61"/>
        <v>41.666666666666664</v>
      </c>
      <c r="D201" s="254">
        <f t="shared" si="62"/>
        <v>93.896713615023472</v>
      </c>
      <c r="E201" s="222">
        <f t="shared" si="62"/>
        <v>3.9123630672926444</v>
      </c>
      <c r="F201" s="255">
        <v>1000</v>
      </c>
      <c r="G201" s="221">
        <f t="shared" si="63"/>
        <v>41.666666666666664</v>
      </c>
      <c r="H201" s="221">
        <f t="shared" si="64"/>
        <v>93.896713615023472</v>
      </c>
      <c r="I201" s="222">
        <f t="shared" si="64"/>
        <v>3.9123630672926444</v>
      </c>
    </row>
    <row r="202" spans="1:9" ht="17.25" thickBot="1" x14ac:dyDescent="0.3">
      <c r="A202" s="223" t="s">
        <v>132</v>
      </c>
      <c r="B202" s="238">
        <v>1000</v>
      </c>
      <c r="C202" s="243">
        <f t="shared" si="61"/>
        <v>41.666666666666664</v>
      </c>
      <c r="D202" s="244">
        <f t="shared" si="62"/>
        <v>93.896713615023472</v>
      </c>
      <c r="E202" s="207">
        <f t="shared" si="62"/>
        <v>3.9123630672926444</v>
      </c>
      <c r="F202" s="238">
        <v>0</v>
      </c>
      <c r="G202" s="206">
        <f t="shared" si="63"/>
        <v>0</v>
      </c>
      <c r="H202" s="206">
        <f t="shared" si="64"/>
        <v>0</v>
      </c>
      <c r="I202" s="207">
        <f t="shared" si="64"/>
        <v>0</v>
      </c>
    </row>
    <row r="203" spans="1:9" x14ac:dyDescent="0.25">
      <c r="A203" s="208" t="s">
        <v>133</v>
      </c>
      <c r="B203" s="245"/>
      <c r="C203" s="246">
        <f t="shared" si="61"/>
        <v>0</v>
      </c>
      <c r="D203" s="247">
        <f t="shared" si="62"/>
        <v>0</v>
      </c>
      <c r="E203" s="212">
        <f t="shared" si="62"/>
        <v>0</v>
      </c>
      <c r="F203" s="239"/>
      <c r="G203" s="211">
        <f t="shared" si="63"/>
        <v>0</v>
      </c>
      <c r="H203" s="211">
        <f t="shared" si="64"/>
        <v>0</v>
      </c>
      <c r="I203" s="212">
        <f t="shared" si="64"/>
        <v>0</v>
      </c>
    </row>
    <row r="204" spans="1:9" x14ac:dyDescent="0.25">
      <c r="A204" s="213" t="s">
        <v>134</v>
      </c>
      <c r="B204" s="248">
        <v>0</v>
      </c>
      <c r="C204" s="249">
        <f t="shared" si="61"/>
        <v>0</v>
      </c>
      <c r="D204" s="250">
        <f t="shared" si="62"/>
        <v>0</v>
      </c>
      <c r="E204" s="217">
        <f t="shared" si="62"/>
        <v>0</v>
      </c>
      <c r="F204" s="251">
        <v>0</v>
      </c>
      <c r="G204" s="216">
        <f t="shared" si="63"/>
        <v>0</v>
      </c>
      <c r="H204" s="216">
        <f t="shared" si="64"/>
        <v>0</v>
      </c>
      <c r="I204" s="217">
        <f t="shared" si="64"/>
        <v>0</v>
      </c>
    </row>
    <row r="205" spans="1:9" x14ac:dyDescent="0.25">
      <c r="A205" s="213" t="s">
        <v>135</v>
      </c>
      <c r="B205" s="248">
        <v>1000</v>
      </c>
      <c r="C205" s="249">
        <f t="shared" si="61"/>
        <v>41.666666666666664</v>
      </c>
      <c r="D205" s="250">
        <f t="shared" si="62"/>
        <v>93.896713615023472</v>
      </c>
      <c r="E205" s="217">
        <f t="shared" si="62"/>
        <v>3.9123630672926444</v>
      </c>
      <c r="F205" s="251"/>
      <c r="G205" s="216">
        <f t="shared" si="63"/>
        <v>0</v>
      </c>
      <c r="H205" s="216">
        <f t="shared" si="64"/>
        <v>0</v>
      </c>
      <c r="I205" s="217">
        <f t="shared" si="64"/>
        <v>0</v>
      </c>
    </row>
    <row r="206" spans="1:9" x14ac:dyDescent="0.25">
      <c r="A206" s="213" t="s">
        <v>136</v>
      </c>
      <c r="B206" s="248"/>
      <c r="C206" s="249">
        <f t="shared" si="61"/>
        <v>0</v>
      </c>
      <c r="D206" s="250">
        <f t="shared" si="62"/>
        <v>0</v>
      </c>
      <c r="E206" s="217">
        <f t="shared" si="62"/>
        <v>0</v>
      </c>
      <c r="F206" s="251"/>
      <c r="G206" s="216">
        <f t="shared" si="63"/>
        <v>0</v>
      </c>
      <c r="H206" s="216">
        <f t="shared" si="64"/>
        <v>0</v>
      </c>
      <c r="I206" s="217">
        <f t="shared" si="64"/>
        <v>0</v>
      </c>
    </row>
    <row r="207" spans="1:9" x14ac:dyDescent="0.25">
      <c r="A207" s="213" t="s">
        <v>137</v>
      </c>
      <c r="B207" s="248"/>
      <c r="C207" s="249">
        <f t="shared" si="61"/>
        <v>0</v>
      </c>
      <c r="D207" s="250">
        <f t="shared" si="62"/>
        <v>0</v>
      </c>
      <c r="E207" s="217">
        <f t="shared" si="62"/>
        <v>0</v>
      </c>
      <c r="F207" s="251"/>
      <c r="G207" s="216">
        <f t="shared" si="63"/>
        <v>0</v>
      </c>
      <c r="H207" s="216">
        <f t="shared" si="64"/>
        <v>0</v>
      </c>
      <c r="I207" s="217">
        <f t="shared" si="64"/>
        <v>0</v>
      </c>
    </row>
    <row r="208" spans="1:9" ht="17.25" thickBot="1" x14ac:dyDescent="0.3">
      <c r="A208" s="225" t="s">
        <v>139</v>
      </c>
      <c r="B208" s="258"/>
      <c r="C208" s="259">
        <f t="shared" si="61"/>
        <v>0</v>
      </c>
      <c r="D208" s="260">
        <f t="shared" si="62"/>
        <v>0</v>
      </c>
      <c r="E208" s="229">
        <f t="shared" si="62"/>
        <v>0</v>
      </c>
      <c r="F208" s="261"/>
      <c r="G208" s="228">
        <f t="shared" si="63"/>
        <v>0</v>
      </c>
      <c r="H208" s="228">
        <f t="shared" si="64"/>
        <v>0</v>
      </c>
      <c r="I208" s="229">
        <f t="shared" si="64"/>
        <v>0</v>
      </c>
    </row>
    <row r="209" spans="1:9" ht="17.25" thickBot="1" x14ac:dyDescent="0.3">
      <c r="A209" s="202" t="s">
        <v>28</v>
      </c>
      <c r="B209" s="504"/>
      <c r="C209" s="505"/>
      <c r="D209" s="505"/>
      <c r="E209" s="505"/>
      <c r="F209" s="505"/>
      <c r="G209" s="505"/>
      <c r="H209" s="505"/>
      <c r="I209" s="506"/>
    </row>
    <row r="210" spans="1:9" ht="17.25" thickBot="1" x14ac:dyDescent="0.3">
      <c r="A210" s="203" t="s">
        <v>122</v>
      </c>
      <c r="B210" s="238">
        <v>1000</v>
      </c>
      <c r="C210" s="243">
        <f t="shared" ref="C210:C221" si="65">B210/$N$1</f>
        <v>41.666666666666664</v>
      </c>
      <c r="D210" s="244">
        <f t="shared" ref="D210:E221" si="66">B210/10.65</f>
        <v>93.896713615023472</v>
      </c>
      <c r="E210" s="207">
        <f t="shared" si="66"/>
        <v>3.9123630672926444</v>
      </c>
      <c r="F210" s="238">
        <v>1000</v>
      </c>
      <c r="G210" s="206">
        <f t="shared" ref="G210:G221" si="67">F210/$N$1</f>
        <v>41.666666666666664</v>
      </c>
      <c r="H210" s="206">
        <f t="shared" ref="H210:I221" si="68">F210/10.65</f>
        <v>93.896713615023472</v>
      </c>
      <c r="I210" s="207">
        <f t="shared" si="68"/>
        <v>3.9123630672926444</v>
      </c>
    </row>
    <row r="211" spans="1:9" x14ac:dyDescent="0.25">
      <c r="A211" s="213" t="s">
        <v>124</v>
      </c>
      <c r="B211" s="248"/>
      <c r="C211" s="249">
        <f t="shared" si="65"/>
        <v>0</v>
      </c>
      <c r="D211" s="250">
        <f t="shared" si="66"/>
        <v>0</v>
      </c>
      <c r="E211" s="217">
        <f t="shared" si="66"/>
        <v>0</v>
      </c>
      <c r="F211" s="251"/>
      <c r="G211" s="216">
        <f t="shared" si="67"/>
        <v>0</v>
      </c>
      <c r="H211" s="216">
        <f t="shared" si="68"/>
        <v>0</v>
      </c>
      <c r="I211" s="217">
        <f t="shared" si="68"/>
        <v>0</v>
      </c>
    </row>
    <row r="212" spans="1:9" x14ac:dyDescent="0.25">
      <c r="A212" s="213" t="s">
        <v>126</v>
      </c>
      <c r="B212" s="248"/>
      <c r="C212" s="249">
        <f t="shared" si="65"/>
        <v>0</v>
      </c>
      <c r="D212" s="250">
        <f t="shared" si="66"/>
        <v>0</v>
      </c>
      <c r="E212" s="217">
        <f t="shared" si="66"/>
        <v>0</v>
      </c>
      <c r="F212" s="251"/>
      <c r="G212" s="216">
        <f t="shared" si="67"/>
        <v>0</v>
      </c>
      <c r="H212" s="216">
        <f t="shared" si="68"/>
        <v>0</v>
      </c>
      <c r="I212" s="217">
        <f t="shared" si="68"/>
        <v>0</v>
      </c>
    </row>
    <row r="213" spans="1:9" x14ac:dyDescent="0.25">
      <c r="A213" s="213" t="s">
        <v>128</v>
      </c>
      <c r="B213" s="248"/>
      <c r="C213" s="249">
        <f t="shared" si="65"/>
        <v>0</v>
      </c>
      <c r="D213" s="250">
        <f t="shared" si="66"/>
        <v>0</v>
      </c>
      <c r="E213" s="217">
        <f t="shared" si="66"/>
        <v>0</v>
      </c>
      <c r="F213" s="251"/>
      <c r="G213" s="216">
        <f t="shared" si="67"/>
        <v>0</v>
      </c>
      <c r="H213" s="216">
        <f t="shared" si="68"/>
        <v>0</v>
      </c>
      <c r="I213" s="217">
        <f t="shared" si="68"/>
        <v>0</v>
      </c>
    </row>
    <row r="214" spans="1:9" ht="17.25" thickBot="1" x14ac:dyDescent="0.3">
      <c r="A214" s="218" t="s">
        <v>129</v>
      </c>
      <c r="B214" s="252">
        <v>1000</v>
      </c>
      <c r="C214" s="253">
        <f t="shared" si="65"/>
        <v>41.666666666666664</v>
      </c>
      <c r="D214" s="254">
        <f t="shared" si="66"/>
        <v>93.896713615023472</v>
      </c>
      <c r="E214" s="222">
        <f t="shared" si="66"/>
        <v>3.9123630672926444</v>
      </c>
      <c r="F214" s="255">
        <v>1000</v>
      </c>
      <c r="G214" s="221">
        <f t="shared" si="67"/>
        <v>41.666666666666664</v>
      </c>
      <c r="H214" s="221">
        <f t="shared" si="68"/>
        <v>93.896713615023472</v>
      </c>
      <c r="I214" s="222">
        <f t="shared" si="68"/>
        <v>3.9123630672926444</v>
      </c>
    </row>
    <row r="215" spans="1:9" ht="17.25" thickBot="1" x14ac:dyDescent="0.3">
      <c r="A215" s="223" t="s">
        <v>132</v>
      </c>
      <c r="B215" s="292">
        <v>1000</v>
      </c>
      <c r="C215" s="256">
        <f t="shared" si="65"/>
        <v>41.666666666666664</v>
      </c>
      <c r="D215" s="257">
        <f t="shared" si="66"/>
        <v>93.896713615023472</v>
      </c>
      <c r="E215" s="233">
        <f t="shared" si="66"/>
        <v>3.9123630672926444</v>
      </c>
      <c r="F215" s="240">
        <v>0</v>
      </c>
      <c r="G215" s="232">
        <f t="shared" si="67"/>
        <v>0</v>
      </c>
      <c r="H215" s="232">
        <f t="shared" si="68"/>
        <v>0</v>
      </c>
      <c r="I215" s="233">
        <f t="shared" si="68"/>
        <v>0</v>
      </c>
    </row>
    <row r="216" spans="1:9" x14ac:dyDescent="0.25">
      <c r="A216" s="208" t="s">
        <v>133</v>
      </c>
      <c r="B216" s="245"/>
      <c r="C216" s="246">
        <f t="shared" si="65"/>
        <v>0</v>
      </c>
      <c r="D216" s="247">
        <f t="shared" si="66"/>
        <v>0</v>
      </c>
      <c r="E216" s="212">
        <f t="shared" si="66"/>
        <v>0</v>
      </c>
      <c r="F216" s="239"/>
      <c r="G216" s="211">
        <f t="shared" si="67"/>
        <v>0</v>
      </c>
      <c r="H216" s="211">
        <f t="shared" si="68"/>
        <v>0</v>
      </c>
      <c r="I216" s="212">
        <f t="shared" si="68"/>
        <v>0</v>
      </c>
    </row>
    <row r="217" spans="1:9" x14ac:dyDescent="0.25">
      <c r="A217" s="213" t="s">
        <v>134</v>
      </c>
      <c r="B217" s="248">
        <v>0</v>
      </c>
      <c r="C217" s="249">
        <f t="shared" si="65"/>
        <v>0</v>
      </c>
      <c r="D217" s="250">
        <f t="shared" si="66"/>
        <v>0</v>
      </c>
      <c r="E217" s="217">
        <f t="shared" si="66"/>
        <v>0</v>
      </c>
      <c r="F217" s="251">
        <v>0</v>
      </c>
      <c r="G217" s="216">
        <f t="shared" si="67"/>
        <v>0</v>
      </c>
      <c r="H217" s="216">
        <f t="shared" si="68"/>
        <v>0</v>
      </c>
      <c r="I217" s="217">
        <f t="shared" si="68"/>
        <v>0</v>
      </c>
    </row>
    <row r="218" spans="1:9" x14ac:dyDescent="0.25">
      <c r="A218" s="213" t="s">
        <v>135</v>
      </c>
      <c r="B218" s="248">
        <v>1000</v>
      </c>
      <c r="C218" s="249">
        <f t="shared" si="65"/>
        <v>41.666666666666664</v>
      </c>
      <c r="D218" s="250">
        <f t="shared" si="66"/>
        <v>93.896713615023472</v>
      </c>
      <c r="E218" s="217">
        <f t="shared" si="66"/>
        <v>3.9123630672926444</v>
      </c>
      <c r="F218" s="251"/>
      <c r="G218" s="216">
        <f t="shared" si="67"/>
        <v>0</v>
      </c>
      <c r="H218" s="216">
        <f t="shared" si="68"/>
        <v>0</v>
      </c>
      <c r="I218" s="217">
        <f t="shared" si="68"/>
        <v>0</v>
      </c>
    </row>
    <row r="219" spans="1:9" x14ac:dyDescent="0.25">
      <c r="A219" s="213" t="s">
        <v>136</v>
      </c>
      <c r="B219" s="248"/>
      <c r="C219" s="249">
        <f t="shared" si="65"/>
        <v>0</v>
      </c>
      <c r="D219" s="250">
        <f t="shared" si="66"/>
        <v>0</v>
      </c>
      <c r="E219" s="217">
        <f t="shared" si="66"/>
        <v>0</v>
      </c>
      <c r="F219" s="251"/>
      <c r="G219" s="216">
        <f t="shared" si="67"/>
        <v>0</v>
      </c>
      <c r="H219" s="216">
        <f t="shared" si="68"/>
        <v>0</v>
      </c>
      <c r="I219" s="217">
        <f t="shared" si="68"/>
        <v>0</v>
      </c>
    </row>
    <row r="220" spans="1:9" x14ac:dyDescent="0.25">
      <c r="A220" s="213" t="s">
        <v>137</v>
      </c>
      <c r="B220" s="248"/>
      <c r="C220" s="249">
        <f t="shared" si="65"/>
        <v>0</v>
      </c>
      <c r="D220" s="250">
        <f t="shared" si="66"/>
        <v>0</v>
      </c>
      <c r="E220" s="217">
        <f t="shared" si="66"/>
        <v>0</v>
      </c>
      <c r="F220" s="251"/>
      <c r="G220" s="216">
        <f t="shared" si="67"/>
        <v>0</v>
      </c>
      <c r="H220" s="216">
        <f t="shared" si="68"/>
        <v>0</v>
      </c>
      <c r="I220" s="217">
        <f t="shared" si="68"/>
        <v>0</v>
      </c>
    </row>
    <row r="221" spans="1:9" ht="17.25" thickBot="1" x14ac:dyDescent="0.3">
      <c r="A221" s="218" t="s">
        <v>139</v>
      </c>
      <c r="B221" s="258"/>
      <c r="C221" s="259">
        <f t="shared" si="65"/>
        <v>0</v>
      </c>
      <c r="D221" s="260">
        <f t="shared" si="66"/>
        <v>0</v>
      </c>
      <c r="E221" s="229">
        <f t="shared" si="66"/>
        <v>0</v>
      </c>
      <c r="F221" s="261"/>
      <c r="G221" s="228">
        <f t="shared" si="67"/>
        <v>0</v>
      </c>
      <c r="H221" s="228">
        <f t="shared" si="68"/>
        <v>0</v>
      </c>
      <c r="I221" s="229">
        <f t="shared" si="68"/>
        <v>0</v>
      </c>
    </row>
    <row r="222" spans="1:9" ht="17.25" thickBot="1" x14ac:dyDescent="0.3">
      <c r="A222" s="293" t="s">
        <v>29</v>
      </c>
      <c r="B222" s="507"/>
      <c r="C222" s="505"/>
      <c r="D222" s="505"/>
      <c r="E222" s="505"/>
      <c r="F222" s="505"/>
      <c r="G222" s="505"/>
      <c r="H222" s="505"/>
      <c r="I222" s="506"/>
    </row>
    <row r="223" spans="1:9" ht="17.25" thickBot="1" x14ac:dyDescent="0.3">
      <c r="A223" s="79" t="s">
        <v>122</v>
      </c>
      <c r="B223" s="263">
        <v>1000</v>
      </c>
      <c r="C223" s="264">
        <f t="shared" ref="C223:C234" si="69">B223/$N$1</f>
        <v>41.666666666666664</v>
      </c>
      <c r="D223" s="265">
        <f t="shared" ref="D223:E234" si="70">B223/10.65</f>
        <v>93.896713615023472</v>
      </c>
      <c r="E223" s="266">
        <f t="shared" si="70"/>
        <v>3.9123630672926444</v>
      </c>
      <c r="F223" s="263">
        <v>1000</v>
      </c>
      <c r="G223" s="267">
        <f t="shared" ref="G223:G234" si="71">F223/$N$1</f>
        <v>41.666666666666664</v>
      </c>
      <c r="H223" s="267">
        <f t="shared" ref="H223:I234" si="72">F223/10.65</f>
        <v>93.896713615023472</v>
      </c>
      <c r="I223" s="266">
        <f t="shared" si="72"/>
        <v>3.9123630672926444</v>
      </c>
    </row>
    <row r="224" spans="1:9" x14ac:dyDescent="0.25">
      <c r="A224" s="94" t="s">
        <v>124</v>
      </c>
      <c r="B224" s="280"/>
      <c r="C224" s="281">
        <f t="shared" si="69"/>
        <v>0</v>
      </c>
      <c r="D224" s="282">
        <f t="shared" si="70"/>
        <v>0</v>
      </c>
      <c r="E224" s="283">
        <f t="shared" si="70"/>
        <v>0</v>
      </c>
      <c r="F224" s="294"/>
      <c r="G224" s="285">
        <f t="shared" si="71"/>
        <v>0</v>
      </c>
      <c r="H224" s="285">
        <f t="shared" si="72"/>
        <v>0</v>
      </c>
      <c r="I224" s="283">
        <f t="shared" si="72"/>
        <v>0</v>
      </c>
    </row>
    <row r="225" spans="1:9" x14ac:dyDescent="0.25">
      <c r="A225" s="94" t="s">
        <v>126</v>
      </c>
      <c r="B225" s="268"/>
      <c r="C225" s="269">
        <f t="shared" si="69"/>
        <v>0</v>
      </c>
      <c r="D225" s="270">
        <f t="shared" si="70"/>
        <v>0</v>
      </c>
      <c r="E225" s="271">
        <f t="shared" si="70"/>
        <v>0</v>
      </c>
      <c r="F225" s="294"/>
      <c r="G225" s="285">
        <f t="shared" si="71"/>
        <v>0</v>
      </c>
      <c r="H225" s="285">
        <f t="shared" si="72"/>
        <v>0</v>
      </c>
      <c r="I225" s="283">
        <f t="shared" si="72"/>
        <v>0</v>
      </c>
    </row>
    <row r="226" spans="1:9" x14ac:dyDescent="0.25">
      <c r="A226" s="94" t="s">
        <v>128</v>
      </c>
      <c r="B226" s="268"/>
      <c r="C226" s="269">
        <f t="shared" si="69"/>
        <v>0</v>
      </c>
      <c r="D226" s="270">
        <f t="shared" si="70"/>
        <v>0</v>
      </c>
      <c r="E226" s="271">
        <f t="shared" si="70"/>
        <v>0</v>
      </c>
      <c r="F226" s="294"/>
      <c r="G226" s="285">
        <f t="shared" si="71"/>
        <v>0</v>
      </c>
      <c r="H226" s="285">
        <f t="shared" si="72"/>
        <v>0</v>
      </c>
      <c r="I226" s="283">
        <f t="shared" si="72"/>
        <v>0</v>
      </c>
    </row>
    <row r="227" spans="1:9" ht="17.25" thickBot="1" x14ac:dyDescent="0.3">
      <c r="A227" s="100" t="s">
        <v>129</v>
      </c>
      <c r="B227" s="274">
        <v>1000</v>
      </c>
      <c r="C227" s="275">
        <f t="shared" si="69"/>
        <v>41.666666666666664</v>
      </c>
      <c r="D227" s="276">
        <f t="shared" si="70"/>
        <v>93.896713615023472</v>
      </c>
      <c r="E227" s="277">
        <f t="shared" si="70"/>
        <v>3.9123630672926444</v>
      </c>
      <c r="F227" s="295">
        <v>1000</v>
      </c>
      <c r="G227" s="296">
        <f t="shared" si="71"/>
        <v>41.666666666666664</v>
      </c>
      <c r="H227" s="296">
        <f t="shared" si="72"/>
        <v>93.896713615023472</v>
      </c>
      <c r="I227" s="297">
        <f t="shared" si="72"/>
        <v>3.9123630672926444</v>
      </c>
    </row>
    <row r="228" spans="1:9" ht="17.25" thickBot="1" x14ac:dyDescent="0.3">
      <c r="A228" s="108" t="s">
        <v>132</v>
      </c>
      <c r="B228" s="298">
        <v>1000</v>
      </c>
      <c r="C228" s="264">
        <f t="shared" si="69"/>
        <v>41.666666666666664</v>
      </c>
      <c r="D228" s="265">
        <f t="shared" si="70"/>
        <v>93.896713615023472</v>
      </c>
      <c r="E228" s="266">
        <f t="shared" si="70"/>
        <v>3.9123630672926444</v>
      </c>
      <c r="F228" s="263">
        <v>0</v>
      </c>
      <c r="G228" s="267">
        <f t="shared" si="71"/>
        <v>0</v>
      </c>
      <c r="H228" s="267">
        <f t="shared" si="72"/>
        <v>0</v>
      </c>
      <c r="I228" s="266">
        <f t="shared" si="72"/>
        <v>0</v>
      </c>
    </row>
    <row r="229" spans="1:9" x14ac:dyDescent="0.25">
      <c r="A229" s="86" t="s">
        <v>133</v>
      </c>
      <c r="B229" s="280"/>
      <c r="C229" s="281">
        <f t="shared" si="69"/>
        <v>0</v>
      </c>
      <c r="D229" s="282">
        <f t="shared" si="70"/>
        <v>0</v>
      </c>
      <c r="E229" s="283">
        <f t="shared" si="70"/>
        <v>0</v>
      </c>
      <c r="F229" s="299"/>
      <c r="G229" s="300">
        <f t="shared" si="71"/>
        <v>0</v>
      </c>
      <c r="H229" s="300">
        <f t="shared" si="72"/>
        <v>0</v>
      </c>
      <c r="I229" s="301">
        <f t="shared" si="72"/>
        <v>0</v>
      </c>
    </row>
    <row r="230" spans="1:9" x14ac:dyDescent="0.25">
      <c r="A230" s="94" t="s">
        <v>134</v>
      </c>
      <c r="B230" s="268">
        <v>0</v>
      </c>
      <c r="C230" s="269">
        <f t="shared" si="69"/>
        <v>0</v>
      </c>
      <c r="D230" s="270">
        <f t="shared" si="70"/>
        <v>0</v>
      </c>
      <c r="E230" s="271">
        <f t="shared" si="70"/>
        <v>0</v>
      </c>
      <c r="F230" s="294">
        <v>0</v>
      </c>
      <c r="G230" s="285">
        <f t="shared" si="71"/>
        <v>0</v>
      </c>
      <c r="H230" s="285">
        <f t="shared" si="72"/>
        <v>0</v>
      </c>
      <c r="I230" s="283">
        <f t="shared" si="72"/>
        <v>0</v>
      </c>
    </row>
    <row r="231" spans="1:9" x14ac:dyDescent="0.25">
      <c r="A231" s="94" t="s">
        <v>135</v>
      </c>
      <c r="B231" s="268">
        <v>1000</v>
      </c>
      <c r="C231" s="269">
        <f t="shared" si="69"/>
        <v>41.666666666666664</v>
      </c>
      <c r="D231" s="270">
        <f t="shared" si="70"/>
        <v>93.896713615023472</v>
      </c>
      <c r="E231" s="271">
        <f t="shared" si="70"/>
        <v>3.9123630672926444</v>
      </c>
      <c r="F231" s="294"/>
      <c r="G231" s="285">
        <f t="shared" si="71"/>
        <v>0</v>
      </c>
      <c r="H231" s="285">
        <f t="shared" si="72"/>
        <v>0</v>
      </c>
      <c r="I231" s="283">
        <f t="shared" si="72"/>
        <v>0</v>
      </c>
    </row>
    <row r="232" spans="1:9" x14ac:dyDescent="0.25">
      <c r="A232" s="94" t="s">
        <v>136</v>
      </c>
      <c r="B232" s="268"/>
      <c r="C232" s="269">
        <f t="shared" si="69"/>
        <v>0</v>
      </c>
      <c r="D232" s="270">
        <f t="shared" si="70"/>
        <v>0</v>
      </c>
      <c r="E232" s="271">
        <f t="shared" si="70"/>
        <v>0</v>
      </c>
      <c r="F232" s="294"/>
      <c r="G232" s="285">
        <f t="shared" si="71"/>
        <v>0</v>
      </c>
      <c r="H232" s="285">
        <f t="shared" si="72"/>
        <v>0</v>
      </c>
      <c r="I232" s="283">
        <f t="shared" si="72"/>
        <v>0</v>
      </c>
    </row>
    <row r="233" spans="1:9" x14ac:dyDescent="0.25">
      <c r="A233" s="94" t="s">
        <v>137</v>
      </c>
      <c r="B233" s="268"/>
      <c r="C233" s="269">
        <f t="shared" si="69"/>
        <v>0</v>
      </c>
      <c r="D233" s="270">
        <f t="shared" si="70"/>
        <v>0</v>
      </c>
      <c r="E233" s="271">
        <f t="shared" si="70"/>
        <v>0</v>
      </c>
      <c r="F233" s="294"/>
      <c r="G233" s="285">
        <f t="shared" si="71"/>
        <v>0</v>
      </c>
      <c r="H233" s="285">
        <f t="shared" si="72"/>
        <v>0</v>
      </c>
      <c r="I233" s="283">
        <f t="shared" si="72"/>
        <v>0</v>
      </c>
    </row>
    <row r="234" spans="1:9" ht="17.25" thickBot="1" x14ac:dyDescent="0.3">
      <c r="A234" s="119" t="s">
        <v>139</v>
      </c>
      <c r="B234" s="286"/>
      <c r="C234" s="287">
        <f t="shared" si="69"/>
        <v>0</v>
      </c>
      <c r="D234" s="288">
        <f t="shared" si="70"/>
        <v>0</v>
      </c>
      <c r="E234" s="289">
        <f t="shared" si="70"/>
        <v>0</v>
      </c>
      <c r="F234" s="295"/>
      <c r="G234" s="296">
        <f t="shared" si="71"/>
        <v>0</v>
      </c>
      <c r="H234" s="296">
        <f t="shared" si="72"/>
        <v>0</v>
      </c>
      <c r="I234" s="297">
        <f t="shared" si="72"/>
        <v>0</v>
      </c>
    </row>
    <row r="236" spans="1:9" x14ac:dyDescent="0.25">
      <c r="A236" s="4" t="s">
        <v>147</v>
      </c>
    </row>
    <row r="237" spans="1:9" x14ac:dyDescent="0.25">
      <c r="A237" s="4" t="s">
        <v>148</v>
      </c>
    </row>
    <row r="239" spans="1:9" x14ac:dyDescent="0.25">
      <c r="A239" s="4" t="s">
        <v>149</v>
      </c>
    </row>
    <row r="240" spans="1:9" x14ac:dyDescent="0.25">
      <c r="A240" s="4" t="s">
        <v>150</v>
      </c>
    </row>
    <row r="242" spans="1:3" x14ac:dyDescent="0.25">
      <c r="A242" s="4" t="s">
        <v>85</v>
      </c>
    </row>
    <row r="243" spans="1:3" x14ac:dyDescent="0.25">
      <c r="A243" s="4" t="s">
        <v>151</v>
      </c>
    </row>
    <row r="245" spans="1:3" x14ac:dyDescent="0.25">
      <c r="A245" s="4" t="s">
        <v>87</v>
      </c>
    </row>
    <row r="246" spans="1:3" x14ac:dyDescent="0.25">
      <c r="A246" s="4" t="s">
        <v>152</v>
      </c>
    </row>
    <row r="248" spans="1:3" ht="18" x14ac:dyDescent="0.25">
      <c r="A248" s="479" t="s">
        <v>226</v>
      </c>
      <c r="B248" s="479"/>
      <c r="C248"/>
    </row>
    <row r="249" spans="1:3" ht="33" x14ac:dyDescent="0.25">
      <c r="A249" s="384" t="s">
        <v>153</v>
      </c>
      <c r="B249" s="385" t="s">
        <v>227</v>
      </c>
      <c r="C249"/>
    </row>
    <row r="250" spans="1:3" x14ac:dyDescent="0.25">
      <c r="A250" s="386"/>
      <c r="B250" s="387" t="s">
        <v>2</v>
      </c>
      <c r="C250" s="69" t="s">
        <v>3</v>
      </c>
    </row>
    <row r="251" spans="1:3" x14ac:dyDescent="0.25">
      <c r="A251" s="388" t="s">
        <v>6</v>
      </c>
      <c r="B251" s="389">
        <v>618454.741713</v>
      </c>
      <c r="C251" s="22">
        <f t="shared" ref="C251:C256" si="73">B251/24</f>
        <v>25768.947571375</v>
      </c>
    </row>
    <row r="252" spans="1:3" x14ac:dyDescent="0.3">
      <c r="A252" s="388" t="s">
        <v>154</v>
      </c>
      <c r="B252" s="390">
        <v>163368.66989200001</v>
      </c>
      <c r="C252" s="22">
        <f t="shared" si="73"/>
        <v>6807.0279121666672</v>
      </c>
    </row>
    <row r="253" spans="1:3" x14ac:dyDescent="0.25">
      <c r="A253" s="391" t="s">
        <v>7</v>
      </c>
      <c r="B253" s="389">
        <f>B254+B255+B256</f>
        <v>696859.46737800119</v>
      </c>
      <c r="C253" s="22">
        <f t="shared" si="73"/>
        <v>29035.811140750051</v>
      </c>
    </row>
    <row r="254" spans="1:3" x14ac:dyDescent="0.3">
      <c r="A254" s="392" t="s">
        <v>155</v>
      </c>
      <c r="B254" s="390">
        <v>0</v>
      </c>
      <c r="C254" s="22">
        <f t="shared" si="73"/>
        <v>0</v>
      </c>
    </row>
    <row r="255" spans="1:3" x14ac:dyDescent="0.25">
      <c r="A255" s="392" t="s">
        <v>156</v>
      </c>
      <c r="B255" s="393">
        <v>548378.58886100119</v>
      </c>
      <c r="C255" s="22">
        <f t="shared" si="73"/>
        <v>22849.107869208383</v>
      </c>
    </row>
    <row r="256" spans="1:3" x14ac:dyDescent="0.25">
      <c r="A256" s="392" t="s">
        <v>157</v>
      </c>
      <c r="B256" s="393">
        <v>148480.878517</v>
      </c>
      <c r="C256" s="22">
        <f t="shared" si="73"/>
        <v>6186.7032715416672</v>
      </c>
    </row>
  </sheetData>
  <mergeCells count="30">
    <mergeCell ref="A77:A78"/>
    <mergeCell ref="B77:E77"/>
    <mergeCell ref="F77:I77"/>
    <mergeCell ref="A248:B248"/>
    <mergeCell ref="B92:I92"/>
    <mergeCell ref="B105:I105"/>
    <mergeCell ref="B118:I118"/>
    <mergeCell ref="B131:I131"/>
    <mergeCell ref="B144:I144"/>
    <mergeCell ref="B157:I157"/>
    <mergeCell ref="B170:I170"/>
    <mergeCell ref="B183:I183"/>
    <mergeCell ref="B196:I196"/>
    <mergeCell ref="B209:I209"/>
    <mergeCell ref="B222:I222"/>
    <mergeCell ref="B79:I79"/>
    <mergeCell ref="B62:E62"/>
    <mergeCell ref="F62:I62"/>
    <mergeCell ref="A2:I2"/>
    <mergeCell ref="B3:E3"/>
    <mergeCell ref="F3:I3"/>
    <mergeCell ref="A21:A22"/>
    <mergeCell ref="B21:E21"/>
    <mergeCell ref="F21:I21"/>
    <mergeCell ref="B23:E23"/>
    <mergeCell ref="F23:I23"/>
    <mergeCell ref="B36:E36"/>
    <mergeCell ref="F36:I36"/>
    <mergeCell ref="B49:E49"/>
    <mergeCell ref="F49:I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Footer>&amp;L&amp;P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2:P56"/>
  <sheetViews>
    <sheetView view="pageBreakPreview" topLeftCell="C28" zoomScaleNormal="100" zoomScaleSheetLayoutView="100" workbookViewId="0">
      <selection activeCell="H4" sqref="H1:H1048576"/>
    </sheetView>
  </sheetViews>
  <sheetFormatPr defaultColWidth="8.7109375" defaultRowHeight="18" x14ac:dyDescent="0.25"/>
  <cols>
    <col min="1" max="1" width="23.42578125" style="302" customWidth="1"/>
    <col min="2" max="2" width="8.5703125" style="303" customWidth="1"/>
    <col min="3" max="3" width="15.5703125" style="315" customWidth="1"/>
    <col min="4" max="4" width="27.5703125" style="311" customWidth="1"/>
    <col min="5" max="5" width="25.85546875" style="311" customWidth="1"/>
    <col min="6" max="6" width="27.42578125" style="312" customWidth="1"/>
    <col min="7" max="7" width="27.42578125" style="313" customWidth="1"/>
    <col min="8" max="9" width="27.42578125" style="314" customWidth="1"/>
    <col min="10" max="10" width="9.140625" style="314" bestFit="1" customWidth="1"/>
    <col min="11" max="11" width="14.5703125" style="314" bestFit="1" customWidth="1"/>
    <col min="12" max="12" width="16.7109375" style="307" customWidth="1"/>
    <col min="13" max="13" width="8.5703125" style="308" customWidth="1"/>
    <col min="14" max="14" width="6.42578125" style="308" bestFit="1" customWidth="1"/>
    <col min="15" max="16" width="11.85546875" style="309" bestFit="1" customWidth="1"/>
    <col min="17" max="16384" width="8.7109375" style="310"/>
  </cols>
  <sheetData>
    <row r="2" spans="1:16" ht="30" customHeight="1" x14ac:dyDescent="0.25">
      <c r="C2" s="517" t="s">
        <v>158</v>
      </c>
      <c r="D2" s="517"/>
      <c r="E2" s="517"/>
      <c r="F2" s="304"/>
      <c r="G2" s="305"/>
      <c r="H2" s="306"/>
      <c r="I2" s="306"/>
      <c r="J2" s="306"/>
      <c r="K2" s="306"/>
    </row>
    <row r="3" spans="1:16" ht="22.35" customHeight="1" x14ac:dyDescent="0.25">
      <c r="C3" s="303"/>
    </row>
    <row r="4" spans="1:16" ht="15.6" customHeight="1" thickBot="1" x14ac:dyDescent="0.3">
      <c r="F4" s="316" t="s">
        <v>159</v>
      </c>
      <c r="G4" s="317" t="s">
        <v>80</v>
      </c>
      <c r="H4" s="318"/>
      <c r="I4" s="318"/>
      <c r="J4" s="318"/>
      <c r="K4" s="318"/>
      <c r="M4" s="308">
        <f>' Tarife PS 19-20'!K7</f>
        <v>2.3148586137822957</v>
      </c>
      <c r="N4" s="308">
        <f>' Tarife PS 19-20'!L7</f>
        <v>1.649056514697723</v>
      </c>
    </row>
    <row r="5" spans="1:16" ht="45" customHeight="1" x14ac:dyDescent="0.25">
      <c r="B5" s="518" t="s">
        <v>74</v>
      </c>
      <c r="C5" s="520" t="s">
        <v>160</v>
      </c>
      <c r="D5" s="319" t="s">
        <v>161</v>
      </c>
      <c r="E5" s="320" t="s">
        <v>162</v>
      </c>
      <c r="F5" s="321" t="s">
        <v>163</v>
      </c>
      <c r="G5" s="322" t="s">
        <v>163</v>
      </c>
      <c r="H5" s="322" t="s">
        <v>164</v>
      </c>
      <c r="I5" s="322" t="s">
        <v>164</v>
      </c>
      <c r="J5" s="322" t="s">
        <v>79</v>
      </c>
      <c r="K5" s="323" t="s">
        <v>225</v>
      </c>
      <c r="L5" s="323" t="s">
        <v>165</v>
      </c>
      <c r="M5" s="324" t="s">
        <v>75</v>
      </c>
      <c r="N5" s="324" t="s">
        <v>76</v>
      </c>
      <c r="O5" s="323" t="s">
        <v>77</v>
      </c>
      <c r="P5" s="323" t="s">
        <v>78</v>
      </c>
    </row>
    <row r="6" spans="1:16" ht="17.45" customHeight="1" x14ac:dyDescent="0.25">
      <c r="B6" s="519"/>
      <c r="C6" s="521"/>
      <c r="D6" s="325" t="s">
        <v>166</v>
      </c>
      <c r="E6" s="325" t="s">
        <v>167</v>
      </c>
      <c r="F6" s="326" t="s">
        <v>168</v>
      </c>
      <c r="G6" s="327" t="s">
        <v>168</v>
      </c>
      <c r="H6" s="328"/>
      <c r="I6" s="328"/>
      <c r="J6" s="328"/>
      <c r="K6" s="328"/>
    </row>
    <row r="7" spans="1:16" ht="22.35" customHeight="1" x14ac:dyDescent="0.25">
      <c r="B7" s="522"/>
      <c r="C7" s="523"/>
      <c r="D7" s="329"/>
      <c r="E7" s="329"/>
      <c r="F7" s="330"/>
      <c r="G7" s="331"/>
      <c r="H7" s="328"/>
      <c r="I7" s="328"/>
      <c r="J7" s="328"/>
      <c r="K7" s="328"/>
    </row>
    <row r="8" spans="1:16" x14ac:dyDescent="0.25">
      <c r="A8" s="332"/>
      <c r="B8" s="333"/>
      <c r="C8" s="334"/>
      <c r="D8" s="335"/>
      <c r="E8" s="335"/>
      <c r="F8" s="336"/>
      <c r="G8" s="337"/>
      <c r="H8" s="338"/>
      <c r="I8" s="338"/>
      <c r="J8" s="338"/>
      <c r="K8" s="338"/>
    </row>
    <row r="9" spans="1:16" x14ac:dyDescent="0.25">
      <c r="A9" s="332"/>
      <c r="B9" s="333">
        <v>1</v>
      </c>
      <c r="C9" s="339" t="s">
        <v>169</v>
      </c>
      <c r="D9" s="335">
        <v>80006652</v>
      </c>
      <c r="E9" s="335">
        <v>84083796</v>
      </c>
      <c r="F9" s="340">
        <v>82000000</v>
      </c>
      <c r="G9" s="341">
        <f>F9/1000/24</f>
        <v>3416.6666666666665</v>
      </c>
      <c r="H9" s="342">
        <v>1</v>
      </c>
      <c r="I9" s="342">
        <v>1</v>
      </c>
      <c r="J9" s="342">
        <f>' Tarife PS 19-20'!C7</f>
        <v>8760</v>
      </c>
      <c r="K9" s="342">
        <f>G9*J9</f>
        <v>29930000</v>
      </c>
      <c r="L9" s="307">
        <f>G9*I9*J9</f>
        <v>29930000</v>
      </c>
      <c r="M9" s="308">
        <f>I9*$M$4</f>
        <v>2.3148586137822957</v>
      </c>
      <c r="N9" s="308">
        <f>I9*$N$4</f>
        <v>1.649056514697723</v>
      </c>
      <c r="O9" s="309">
        <f>L9*M9</f>
        <v>69283718.310504109</v>
      </c>
      <c r="P9" s="309">
        <f>L9*N9</f>
        <v>49356261.484902851</v>
      </c>
    </row>
    <row r="10" spans="1:16" x14ac:dyDescent="0.25">
      <c r="A10" s="332"/>
      <c r="B10" s="511"/>
      <c r="C10" s="512"/>
      <c r="D10" s="512"/>
      <c r="E10" s="512"/>
      <c r="F10" s="513"/>
      <c r="G10" s="310"/>
      <c r="H10" s="343"/>
      <c r="I10" s="343"/>
      <c r="J10" s="343"/>
      <c r="K10" s="342">
        <f t="shared" ref="K10:K43" si="0">G10*J10</f>
        <v>0</v>
      </c>
      <c r="L10" s="307">
        <f t="shared" ref="L10:L43" si="1">G10*I10*J10</f>
        <v>0</v>
      </c>
      <c r="M10" s="308">
        <f t="shared" ref="M10:M43" si="2">I10*$M$4</f>
        <v>0</v>
      </c>
      <c r="N10" s="308">
        <f t="shared" ref="N10:N43" si="3">I10*$N$4</f>
        <v>0</v>
      </c>
      <c r="O10" s="309">
        <f t="shared" ref="O10:O43" si="4">L10*M10</f>
        <v>0</v>
      </c>
      <c r="P10" s="309">
        <f t="shared" ref="P10:P43" si="5">L10*N10</f>
        <v>0</v>
      </c>
    </row>
    <row r="11" spans="1:16" x14ac:dyDescent="0.25">
      <c r="A11" s="332"/>
      <c r="B11" s="514"/>
      <c r="C11" s="515"/>
      <c r="D11" s="515"/>
      <c r="E11" s="515"/>
      <c r="F11" s="516"/>
      <c r="G11" s="310"/>
      <c r="H11" s="343"/>
      <c r="I11" s="343"/>
      <c r="J11" s="343"/>
      <c r="K11" s="342">
        <f t="shared" si="0"/>
        <v>0</v>
      </c>
      <c r="L11" s="307">
        <f t="shared" si="1"/>
        <v>0</v>
      </c>
      <c r="M11" s="308">
        <f t="shared" si="2"/>
        <v>0</v>
      </c>
      <c r="N11" s="308">
        <f t="shared" si="3"/>
        <v>0</v>
      </c>
      <c r="O11" s="309">
        <f t="shared" si="4"/>
        <v>0</v>
      </c>
      <c r="P11" s="309">
        <f t="shared" si="5"/>
        <v>0</v>
      </c>
    </row>
    <row r="12" spans="1:16" x14ac:dyDescent="0.25">
      <c r="A12" s="332"/>
      <c r="B12" s="333">
        <v>2</v>
      </c>
      <c r="C12" s="339" t="s">
        <v>170</v>
      </c>
      <c r="D12" s="335">
        <v>16000000</v>
      </c>
      <c r="E12" s="335">
        <v>1895380</v>
      </c>
      <c r="F12" s="340">
        <v>2000000</v>
      </c>
      <c r="G12" s="341">
        <f>F12/1000/24</f>
        <v>83.333333333333329</v>
      </c>
      <c r="H12" s="342">
        <v>1.5185125850415957</v>
      </c>
      <c r="I12" s="342">
        <f>'Multiplicatori 19-20-TAR'!C10</f>
        <v>1.5185125850415957</v>
      </c>
      <c r="J12" s="342">
        <f>' Tarife PS 19-20'!C11</f>
        <v>2208</v>
      </c>
      <c r="K12" s="342">
        <f t="shared" si="0"/>
        <v>184000</v>
      </c>
      <c r="L12" s="307">
        <f t="shared" si="1"/>
        <v>279406.3156476536</v>
      </c>
      <c r="M12" s="308">
        <f t="shared" si="2"/>
        <v>3.5151419376203585</v>
      </c>
      <c r="N12" s="308">
        <f t="shared" si="3"/>
        <v>2.5041130710133235</v>
      </c>
      <c r="O12" s="309">
        <f t="shared" si="4"/>
        <v>982152.85776905855</v>
      </c>
      <c r="P12" s="309">
        <f t="shared" si="5"/>
        <v>699665.00713696389</v>
      </c>
    </row>
    <row r="13" spans="1:16" x14ac:dyDescent="0.25">
      <c r="A13" s="332"/>
      <c r="B13" s="333"/>
      <c r="C13" s="339"/>
      <c r="D13" s="335"/>
      <c r="E13" s="335"/>
      <c r="F13" s="344"/>
      <c r="G13" s="345"/>
      <c r="H13" s="338"/>
      <c r="I13" s="338"/>
      <c r="J13" s="342"/>
      <c r="K13" s="342">
        <f t="shared" si="0"/>
        <v>0</v>
      </c>
      <c r="L13" s="307">
        <f t="shared" si="1"/>
        <v>0</v>
      </c>
      <c r="M13" s="308">
        <f t="shared" si="2"/>
        <v>0</v>
      </c>
      <c r="N13" s="308">
        <f t="shared" si="3"/>
        <v>0</v>
      </c>
      <c r="O13" s="309">
        <f t="shared" si="4"/>
        <v>0</v>
      </c>
      <c r="P13" s="309">
        <f t="shared" si="5"/>
        <v>0</v>
      </c>
    </row>
    <row r="14" spans="1:16" x14ac:dyDescent="0.25">
      <c r="A14" s="332"/>
      <c r="B14" s="333">
        <v>3</v>
      </c>
      <c r="C14" s="339" t="s">
        <v>171</v>
      </c>
      <c r="D14" s="335">
        <v>446000</v>
      </c>
      <c r="E14" s="335">
        <v>1706991</v>
      </c>
      <c r="F14" s="340">
        <v>1500000</v>
      </c>
      <c r="G14" s="341">
        <f>F14/1000/24</f>
        <v>62.5</v>
      </c>
      <c r="H14" s="342">
        <v>1.7104305453885031</v>
      </c>
      <c r="I14" s="342">
        <f>'Multiplicatori 19-20-TAR'!F10</f>
        <v>1.7104305453885036</v>
      </c>
      <c r="J14" s="342">
        <f>' Tarife PS 19-20'!C13</f>
        <v>2160</v>
      </c>
      <c r="K14" s="342">
        <f t="shared" si="0"/>
        <v>135000</v>
      </c>
      <c r="L14" s="307">
        <f t="shared" si="1"/>
        <v>230908.12362744799</v>
      </c>
      <c r="M14" s="308">
        <f t="shared" si="2"/>
        <v>3.9594048812689273</v>
      </c>
      <c r="N14" s="308">
        <f t="shared" si="3"/>
        <v>2.820596633810891</v>
      </c>
      <c r="O14" s="309">
        <f t="shared" si="4"/>
        <v>914258.75181516644</v>
      </c>
      <c r="P14" s="309">
        <f t="shared" si="5"/>
        <v>651298.67622316885</v>
      </c>
    </row>
    <row r="15" spans="1:16" x14ac:dyDescent="0.25">
      <c r="A15" s="332"/>
      <c r="B15" s="333"/>
      <c r="C15" s="339"/>
      <c r="D15" s="335"/>
      <c r="E15" s="335"/>
      <c r="F15" s="344"/>
      <c r="G15" s="345"/>
      <c r="H15" s="338"/>
      <c r="I15" s="338"/>
      <c r="J15" s="342"/>
      <c r="K15" s="342">
        <f t="shared" si="0"/>
        <v>0</v>
      </c>
      <c r="L15" s="307">
        <f t="shared" si="1"/>
        <v>0</v>
      </c>
      <c r="M15" s="308">
        <f t="shared" si="2"/>
        <v>0</v>
      </c>
      <c r="N15" s="308">
        <f t="shared" si="3"/>
        <v>0</v>
      </c>
      <c r="O15" s="309">
        <f t="shared" si="4"/>
        <v>0</v>
      </c>
      <c r="P15" s="309">
        <f t="shared" si="5"/>
        <v>0</v>
      </c>
    </row>
    <row r="16" spans="1:16" x14ac:dyDescent="0.25">
      <c r="A16" s="332"/>
      <c r="B16" s="333">
        <v>4</v>
      </c>
      <c r="C16" s="339" t="s">
        <v>172</v>
      </c>
      <c r="D16" s="335">
        <v>4500000</v>
      </c>
      <c r="E16" s="335">
        <v>0</v>
      </c>
      <c r="F16" s="340">
        <v>0</v>
      </c>
      <c r="G16" s="341">
        <f>F16/1000/24</f>
        <v>0</v>
      </c>
      <c r="H16" s="342">
        <v>0.91605862043843544</v>
      </c>
      <c r="I16" s="342">
        <f>'Multiplicatori 19-20-TAR'!I10</f>
        <v>0.91605862043843567</v>
      </c>
      <c r="J16" s="342">
        <f>' Tarife PS 19-20'!C15</f>
        <v>2184</v>
      </c>
      <c r="K16" s="342">
        <f t="shared" si="0"/>
        <v>0</v>
      </c>
      <c r="L16" s="307">
        <f t="shared" si="1"/>
        <v>0</v>
      </c>
      <c r="M16" s="308">
        <f t="shared" si="2"/>
        <v>2.1205461882514394</v>
      </c>
      <c r="N16" s="308">
        <f t="shared" si="3"/>
        <v>1.5106324358790111</v>
      </c>
      <c r="O16" s="309">
        <f t="shared" si="4"/>
        <v>0</v>
      </c>
      <c r="P16" s="309">
        <f t="shared" si="5"/>
        <v>0</v>
      </c>
    </row>
    <row r="17" spans="1:16" x14ac:dyDescent="0.25">
      <c r="A17" s="332"/>
      <c r="B17" s="333"/>
      <c r="C17" s="339"/>
      <c r="D17" s="335"/>
      <c r="E17" s="335"/>
      <c r="F17" s="344"/>
      <c r="G17" s="345"/>
      <c r="H17" s="338"/>
      <c r="I17" s="338"/>
      <c r="J17" s="342"/>
      <c r="K17" s="342">
        <f t="shared" si="0"/>
        <v>0</v>
      </c>
      <c r="L17" s="307">
        <f t="shared" si="1"/>
        <v>0</v>
      </c>
      <c r="M17" s="308">
        <f t="shared" si="2"/>
        <v>0</v>
      </c>
      <c r="N17" s="308">
        <f t="shared" si="3"/>
        <v>0</v>
      </c>
      <c r="O17" s="309">
        <f t="shared" si="4"/>
        <v>0</v>
      </c>
      <c r="P17" s="309">
        <f t="shared" si="5"/>
        <v>0</v>
      </c>
    </row>
    <row r="18" spans="1:16" x14ac:dyDescent="0.25">
      <c r="A18" s="332"/>
      <c r="B18" s="333">
        <v>5</v>
      </c>
      <c r="C18" s="339" t="s">
        <v>173</v>
      </c>
      <c r="D18" s="335">
        <v>0</v>
      </c>
      <c r="E18" s="346">
        <v>0</v>
      </c>
      <c r="F18" s="340">
        <v>0</v>
      </c>
      <c r="G18" s="341">
        <f>F18/1000/24</f>
        <v>0</v>
      </c>
      <c r="H18" s="342">
        <v>1.0549982491314651</v>
      </c>
      <c r="I18" s="342">
        <f>'Multiplicatori 19-20-TAR'!L10</f>
        <v>1.0549982491314653</v>
      </c>
      <c r="J18" s="342">
        <f>' Tarife PS 19-20'!C17</f>
        <v>2208</v>
      </c>
      <c r="K18" s="342">
        <f t="shared" si="0"/>
        <v>0</v>
      </c>
      <c r="L18" s="307">
        <f t="shared" si="1"/>
        <v>0</v>
      </c>
      <c r="M18" s="308">
        <f t="shared" si="2"/>
        <v>2.4421717845272131</v>
      </c>
      <c r="N18" s="308">
        <f t="shared" si="3"/>
        <v>1.7397517357249344</v>
      </c>
      <c r="O18" s="309">
        <f t="shared" si="4"/>
        <v>0</v>
      </c>
      <c r="P18" s="309">
        <f t="shared" si="5"/>
        <v>0</v>
      </c>
    </row>
    <row r="19" spans="1:16" x14ac:dyDescent="0.25">
      <c r="A19" s="332"/>
      <c r="B19" s="511"/>
      <c r="C19" s="512"/>
      <c r="D19" s="512"/>
      <c r="E19" s="512"/>
      <c r="F19" s="513"/>
      <c r="G19" s="310"/>
      <c r="H19" s="343"/>
      <c r="I19" s="343"/>
      <c r="J19" s="343"/>
      <c r="K19" s="342">
        <f t="shared" si="0"/>
        <v>0</v>
      </c>
      <c r="L19" s="307">
        <f t="shared" si="1"/>
        <v>0</v>
      </c>
      <c r="M19" s="308">
        <f t="shared" si="2"/>
        <v>0</v>
      </c>
      <c r="N19" s="308">
        <f t="shared" si="3"/>
        <v>0</v>
      </c>
      <c r="O19" s="309">
        <f t="shared" si="4"/>
        <v>0</v>
      </c>
      <c r="P19" s="309">
        <f t="shared" si="5"/>
        <v>0</v>
      </c>
    </row>
    <row r="20" spans="1:16" x14ac:dyDescent="0.25">
      <c r="A20" s="332"/>
      <c r="B20" s="514"/>
      <c r="C20" s="515"/>
      <c r="D20" s="515"/>
      <c r="E20" s="515"/>
      <c r="F20" s="516"/>
      <c r="G20" s="310"/>
      <c r="H20" s="343"/>
      <c r="I20" s="343"/>
      <c r="J20" s="343"/>
      <c r="K20" s="342">
        <f t="shared" si="0"/>
        <v>0</v>
      </c>
      <c r="L20" s="307">
        <f t="shared" si="1"/>
        <v>0</v>
      </c>
      <c r="M20" s="308">
        <f t="shared" si="2"/>
        <v>0</v>
      </c>
      <c r="N20" s="308">
        <f t="shared" si="3"/>
        <v>0</v>
      </c>
      <c r="O20" s="309">
        <f t="shared" si="4"/>
        <v>0</v>
      </c>
      <c r="P20" s="309">
        <f t="shared" si="5"/>
        <v>0</v>
      </c>
    </row>
    <row r="21" spans="1:16" x14ac:dyDescent="0.25">
      <c r="A21" s="332"/>
      <c r="B21" s="333">
        <v>6</v>
      </c>
      <c r="C21" s="339" t="s">
        <v>174</v>
      </c>
      <c r="D21" s="335">
        <v>0</v>
      </c>
      <c r="E21" s="335">
        <v>178480</v>
      </c>
      <c r="F21" s="340">
        <v>0</v>
      </c>
      <c r="G21" s="341">
        <f>F21/1000/24</f>
        <v>0</v>
      </c>
      <c r="H21" s="342">
        <v>1.3576129739155636</v>
      </c>
      <c r="I21" s="342">
        <f>'Multiplicatori 19-20-TAR'!C11</f>
        <v>1.3576129739155638</v>
      </c>
      <c r="J21" s="342">
        <f>' Tarife PS 19-20'!C19</f>
        <v>744</v>
      </c>
      <c r="K21" s="342">
        <f t="shared" si="0"/>
        <v>0</v>
      </c>
      <c r="L21" s="307">
        <f t="shared" si="1"/>
        <v>0</v>
      </c>
      <c r="M21" s="308">
        <f t="shared" si="2"/>
        <v>3.1426820868510421</v>
      </c>
      <c r="N21" s="308">
        <f t="shared" si="3"/>
        <v>2.2387805190736101</v>
      </c>
      <c r="O21" s="309">
        <f t="shared" si="4"/>
        <v>0</v>
      </c>
      <c r="P21" s="309">
        <f t="shared" si="5"/>
        <v>0</v>
      </c>
    </row>
    <row r="22" spans="1:16" x14ac:dyDescent="0.25">
      <c r="A22" s="332"/>
      <c r="B22" s="333"/>
      <c r="C22" s="334"/>
      <c r="D22" s="335"/>
      <c r="E22" s="335"/>
      <c r="F22" s="344"/>
      <c r="G22" s="345"/>
      <c r="H22" s="338"/>
      <c r="I22" s="338"/>
      <c r="J22" s="342"/>
      <c r="K22" s="342">
        <f t="shared" si="0"/>
        <v>0</v>
      </c>
      <c r="L22" s="307">
        <f t="shared" si="1"/>
        <v>0</v>
      </c>
      <c r="M22" s="308">
        <f t="shared" si="2"/>
        <v>0</v>
      </c>
      <c r="N22" s="308">
        <f t="shared" si="3"/>
        <v>0</v>
      </c>
      <c r="O22" s="309">
        <f t="shared" si="4"/>
        <v>0</v>
      </c>
      <c r="P22" s="309">
        <f t="shared" si="5"/>
        <v>0</v>
      </c>
    </row>
    <row r="23" spans="1:16" x14ac:dyDescent="0.25">
      <c r="A23" s="332"/>
      <c r="B23" s="333">
        <v>7</v>
      </c>
      <c r="C23" s="339" t="s">
        <v>175</v>
      </c>
      <c r="D23" s="335">
        <v>284700</v>
      </c>
      <c r="E23" s="335">
        <v>12276921</v>
      </c>
      <c r="F23" s="340">
        <v>12000000</v>
      </c>
      <c r="G23" s="341">
        <f>F23/1000/24</f>
        <v>500</v>
      </c>
      <c r="H23" s="342">
        <v>1.5739981246921282</v>
      </c>
      <c r="I23" s="342">
        <f>'Multiplicatori 19-20-TAR'!D11</f>
        <v>1.5739981246921284</v>
      </c>
      <c r="J23" s="342">
        <f>' Tarife PS 19-20'!C21</f>
        <v>720</v>
      </c>
      <c r="K23" s="342">
        <f t="shared" si="0"/>
        <v>360000</v>
      </c>
      <c r="L23" s="307">
        <f t="shared" si="1"/>
        <v>566639.32488916616</v>
      </c>
      <c r="M23" s="308">
        <f t="shared" si="2"/>
        <v>3.6435831170207535</v>
      </c>
      <c r="N23" s="308">
        <f t="shared" si="3"/>
        <v>2.595611861645553</v>
      </c>
      <c r="O23" s="309">
        <f t="shared" si="4"/>
        <v>2064597.4776062034</v>
      </c>
      <c r="P23" s="309">
        <f t="shared" si="5"/>
        <v>1470775.752957148</v>
      </c>
    </row>
    <row r="24" spans="1:16" x14ac:dyDescent="0.25">
      <c r="A24" s="332"/>
      <c r="B24" s="333"/>
      <c r="C24" s="334"/>
      <c r="D24" s="335"/>
      <c r="E24" s="335"/>
      <c r="F24" s="344"/>
      <c r="G24" s="345"/>
      <c r="H24" s="338"/>
      <c r="I24" s="338"/>
      <c r="J24" s="342"/>
      <c r="K24" s="342">
        <f t="shared" si="0"/>
        <v>0</v>
      </c>
      <c r="L24" s="307">
        <f t="shared" si="1"/>
        <v>0</v>
      </c>
      <c r="M24" s="308">
        <f t="shared" si="2"/>
        <v>0</v>
      </c>
      <c r="N24" s="308">
        <f t="shared" si="3"/>
        <v>0</v>
      </c>
      <c r="O24" s="309">
        <f t="shared" si="4"/>
        <v>0</v>
      </c>
      <c r="P24" s="309">
        <f t="shared" si="5"/>
        <v>0</v>
      </c>
    </row>
    <row r="25" spans="1:16" x14ac:dyDescent="0.25">
      <c r="A25" s="332"/>
      <c r="B25" s="333">
        <v>8</v>
      </c>
      <c r="C25" s="339" t="s">
        <v>176</v>
      </c>
      <c r="D25" s="335">
        <v>7431032</v>
      </c>
      <c r="E25" s="335">
        <v>14784532</v>
      </c>
      <c r="F25" s="340">
        <v>14000000</v>
      </c>
      <c r="G25" s="341">
        <f>F25/1000/24</f>
        <v>583.33333333333337</v>
      </c>
      <c r="H25" s="342">
        <v>2.3247786188439852</v>
      </c>
      <c r="I25" s="342">
        <f>'Multiplicatori 19-20-TAR'!E11</f>
        <v>2.3247786188439856</v>
      </c>
      <c r="J25" s="342">
        <f>' Tarife PS 19-20'!C23</f>
        <v>744</v>
      </c>
      <c r="K25" s="342">
        <f t="shared" si="0"/>
        <v>434000</v>
      </c>
      <c r="L25" s="307">
        <f t="shared" si="1"/>
        <v>1008953.9205782899</v>
      </c>
      <c r="M25" s="308">
        <f t="shared" si="2"/>
        <v>5.3815338109679089</v>
      </c>
      <c r="N25" s="308">
        <f t="shared" si="3"/>
        <v>3.8336913266346491</v>
      </c>
      <c r="O25" s="309">
        <f t="shared" si="4"/>
        <v>5429719.6373006972</v>
      </c>
      <c r="P25" s="309">
        <f t="shared" si="5"/>
        <v>3868017.8942950144</v>
      </c>
    </row>
    <row r="26" spans="1:16" x14ac:dyDescent="0.25">
      <c r="A26" s="332"/>
      <c r="B26" s="333"/>
      <c r="C26" s="334"/>
      <c r="D26" s="335"/>
      <c r="E26" s="335"/>
      <c r="F26" s="344"/>
      <c r="G26" s="345"/>
      <c r="H26" s="338"/>
      <c r="I26" s="338"/>
      <c r="J26" s="342"/>
      <c r="K26" s="342">
        <f t="shared" si="0"/>
        <v>0</v>
      </c>
      <c r="L26" s="307">
        <f t="shared" si="1"/>
        <v>0</v>
      </c>
      <c r="M26" s="308">
        <f t="shared" si="2"/>
        <v>0</v>
      </c>
      <c r="N26" s="308">
        <f t="shared" si="3"/>
        <v>0</v>
      </c>
      <c r="O26" s="309">
        <f t="shared" si="4"/>
        <v>0</v>
      </c>
      <c r="P26" s="309">
        <f t="shared" si="5"/>
        <v>0</v>
      </c>
    </row>
    <row r="27" spans="1:16" x14ac:dyDescent="0.25">
      <c r="B27" s="333">
        <v>9</v>
      </c>
      <c r="C27" s="339" t="s">
        <v>177</v>
      </c>
      <c r="D27" s="335">
        <v>10326032</v>
      </c>
      <c r="E27" s="335">
        <v>25410290</v>
      </c>
      <c r="F27" s="340">
        <v>25500000</v>
      </c>
      <c r="G27" s="341">
        <f>F27/1000/24</f>
        <v>1062.5</v>
      </c>
      <c r="H27" s="342">
        <v>2.8978227186961854</v>
      </c>
      <c r="I27" s="342">
        <f>'Multiplicatori 19-20-TAR'!F11</f>
        <v>2.8978227186961858</v>
      </c>
      <c r="J27" s="342">
        <f>' Tarife PS 19-20'!C25</f>
        <v>744</v>
      </c>
      <c r="K27" s="342">
        <f t="shared" si="0"/>
        <v>790500</v>
      </c>
      <c r="L27" s="307">
        <f t="shared" si="1"/>
        <v>2290728.8591293348</v>
      </c>
      <c r="M27" s="308">
        <f t="shared" si="2"/>
        <v>6.7080498815878959</v>
      </c>
      <c r="N27" s="308">
        <f t="shared" si="3"/>
        <v>4.7786734327050127</v>
      </c>
      <c r="O27" s="309">
        <f t="shared" si="4"/>
        <v>15366323.45223251</v>
      </c>
      <c r="P27" s="309">
        <f t="shared" si="5"/>
        <v>10946645.140652016</v>
      </c>
    </row>
    <row r="28" spans="1:16" x14ac:dyDescent="0.25">
      <c r="B28" s="333"/>
      <c r="C28" s="334"/>
      <c r="D28" s="335"/>
      <c r="E28" s="335"/>
      <c r="F28" s="344"/>
      <c r="G28" s="345"/>
      <c r="H28" s="338"/>
      <c r="I28" s="338"/>
      <c r="J28" s="342"/>
      <c r="K28" s="342">
        <f t="shared" si="0"/>
        <v>0</v>
      </c>
      <c r="L28" s="307">
        <f t="shared" si="1"/>
        <v>0</v>
      </c>
      <c r="M28" s="308">
        <f t="shared" si="2"/>
        <v>0</v>
      </c>
      <c r="N28" s="308">
        <f t="shared" si="3"/>
        <v>0</v>
      </c>
      <c r="O28" s="309">
        <f t="shared" si="4"/>
        <v>0</v>
      </c>
      <c r="P28" s="309">
        <f t="shared" si="5"/>
        <v>0</v>
      </c>
    </row>
    <row r="29" spans="1:16" x14ac:dyDescent="0.25">
      <c r="B29" s="333">
        <v>10</v>
      </c>
      <c r="C29" s="339" t="s">
        <v>178</v>
      </c>
      <c r="D29" s="335">
        <v>12478190</v>
      </c>
      <c r="E29" s="335">
        <v>17610513</v>
      </c>
      <c r="F29" s="340">
        <v>16500000</v>
      </c>
      <c r="G29" s="341">
        <f>F29/1000/24</f>
        <v>687.5</v>
      </c>
      <c r="H29" s="342">
        <v>1.6228238397002845</v>
      </c>
      <c r="I29" s="342">
        <f>'Multiplicatori 19-20-TAR'!G11</f>
        <v>1.6228238397002848</v>
      </c>
      <c r="J29" s="342">
        <f>' Tarife PS 19-20'!C27</f>
        <v>672</v>
      </c>
      <c r="K29" s="342">
        <f t="shared" si="0"/>
        <v>462000</v>
      </c>
      <c r="L29" s="307">
        <f t="shared" si="1"/>
        <v>749744.61394153151</v>
      </c>
      <c r="M29" s="308">
        <f t="shared" si="2"/>
        <v>3.7566077439814638</v>
      </c>
      <c r="N29" s="308">
        <f t="shared" si="3"/>
        <v>2.6761282250645277</v>
      </c>
      <c r="O29" s="309">
        <f t="shared" si="4"/>
        <v>2816496.42274115</v>
      </c>
      <c r="P29" s="309">
        <f t="shared" si="5"/>
        <v>2006412.7229590402</v>
      </c>
    </row>
    <row r="30" spans="1:16" x14ac:dyDescent="0.25">
      <c r="B30" s="333"/>
      <c r="C30" s="334"/>
      <c r="D30" s="335"/>
      <c r="E30" s="335"/>
      <c r="F30" s="344"/>
      <c r="G30" s="345"/>
      <c r="H30" s="338"/>
      <c r="I30" s="338"/>
      <c r="J30" s="342"/>
      <c r="K30" s="342">
        <f t="shared" si="0"/>
        <v>0</v>
      </c>
      <c r="L30" s="307">
        <f t="shared" si="1"/>
        <v>0</v>
      </c>
      <c r="M30" s="308">
        <f t="shared" si="2"/>
        <v>0</v>
      </c>
      <c r="N30" s="308">
        <f t="shared" si="3"/>
        <v>0</v>
      </c>
      <c r="O30" s="309">
        <f t="shared" si="4"/>
        <v>0</v>
      </c>
      <c r="P30" s="309">
        <f t="shared" si="5"/>
        <v>0</v>
      </c>
    </row>
    <row r="31" spans="1:16" x14ac:dyDescent="0.25">
      <c r="B31" s="333">
        <v>11</v>
      </c>
      <c r="C31" s="339" t="s">
        <v>179</v>
      </c>
      <c r="D31" s="335">
        <v>13226623</v>
      </c>
      <c r="E31" s="335">
        <v>200000</v>
      </c>
      <c r="F31" s="340">
        <v>4000000</v>
      </c>
      <c r="G31" s="341">
        <f>F31/1000/24</f>
        <v>166.66666666666666</v>
      </c>
      <c r="H31" s="342">
        <v>1.4000745602560416</v>
      </c>
      <c r="I31" s="342">
        <f>'Multiplicatori 19-20-TAR'!H11</f>
        <v>1.4000745602560418</v>
      </c>
      <c r="J31" s="342">
        <f>' Tarife PS 19-20'!C29</f>
        <v>744</v>
      </c>
      <c r="K31" s="342">
        <f t="shared" si="0"/>
        <v>124000</v>
      </c>
      <c r="L31" s="307">
        <f t="shared" si="1"/>
        <v>173609.24547174916</v>
      </c>
      <c r="M31" s="308">
        <f t="shared" si="2"/>
        <v>3.2409746557461583</v>
      </c>
      <c r="N31" s="308">
        <f t="shared" si="3"/>
        <v>2.3088020746527755</v>
      </c>
      <c r="O31" s="309">
        <f t="shared" si="4"/>
        <v>562663.16457715258</v>
      </c>
      <c r="P31" s="309">
        <f t="shared" si="5"/>
        <v>400829.38612407743</v>
      </c>
    </row>
    <row r="32" spans="1:16" x14ac:dyDescent="0.25">
      <c r="B32" s="333"/>
      <c r="C32" s="347"/>
      <c r="D32" s="335"/>
      <c r="E32" s="335"/>
      <c r="F32" s="344"/>
      <c r="G32" s="345"/>
      <c r="H32" s="338"/>
      <c r="I32" s="338"/>
      <c r="J32" s="342"/>
      <c r="K32" s="342">
        <f t="shared" si="0"/>
        <v>0</v>
      </c>
      <c r="L32" s="307">
        <f t="shared" si="1"/>
        <v>0</v>
      </c>
      <c r="M32" s="308">
        <f t="shared" si="2"/>
        <v>0</v>
      </c>
      <c r="N32" s="308">
        <f t="shared" si="3"/>
        <v>0</v>
      </c>
      <c r="O32" s="309">
        <f t="shared" si="4"/>
        <v>0</v>
      </c>
      <c r="P32" s="309">
        <f t="shared" si="5"/>
        <v>0</v>
      </c>
    </row>
    <row r="33" spans="2:16" x14ac:dyDescent="0.25">
      <c r="B33" s="333">
        <v>12</v>
      </c>
      <c r="C33" s="339" t="s">
        <v>180</v>
      </c>
      <c r="D33" s="335">
        <v>7328082</v>
      </c>
      <c r="E33" s="346">
        <v>200000</v>
      </c>
      <c r="F33" s="340">
        <v>8000000</v>
      </c>
      <c r="G33" s="341">
        <f>F33/1000/24</f>
        <v>333.33333333333331</v>
      </c>
      <c r="H33" s="342">
        <v>1.0994315866315751</v>
      </c>
      <c r="I33" s="342">
        <f>'Multiplicatori 19-20-TAR'!I11</f>
        <v>1.0994315866315754</v>
      </c>
      <c r="J33" s="342">
        <f>' Tarife PS 19-20'!C31</f>
        <v>720</v>
      </c>
      <c r="K33" s="342">
        <f t="shared" si="0"/>
        <v>240000</v>
      </c>
      <c r="L33" s="307">
        <f t="shared" si="1"/>
        <v>263863.5807915781</v>
      </c>
      <c r="M33" s="308">
        <f t="shared" si="2"/>
        <v>2.5450286785784386</v>
      </c>
      <c r="N33" s="308">
        <f t="shared" si="3"/>
        <v>1.8130248203992534</v>
      </c>
      <c r="O33" s="309">
        <f t="shared" si="4"/>
        <v>671540.38034696504</v>
      </c>
      <c r="P33" s="309">
        <f t="shared" si="5"/>
        <v>478391.22117455478</v>
      </c>
    </row>
    <row r="34" spans="2:16" x14ac:dyDescent="0.25">
      <c r="B34" s="333"/>
      <c r="C34" s="339"/>
      <c r="D34" s="335"/>
      <c r="E34" s="346"/>
      <c r="F34" s="344"/>
      <c r="G34" s="345"/>
      <c r="H34" s="338"/>
      <c r="I34" s="338"/>
      <c r="J34" s="342"/>
      <c r="K34" s="342">
        <f t="shared" si="0"/>
        <v>0</v>
      </c>
      <c r="L34" s="307">
        <f t="shared" si="1"/>
        <v>0</v>
      </c>
      <c r="M34" s="308">
        <f t="shared" si="2"/>
        <v>0</v>
      </c>
      <c r="N34" s="308">
        <f t="shared" si="3"/>
        <v>0</v>
      </c>
      <c r="O34" s="309">
        <f t="shared" si="4"/>
        <v>0</v>
      </c>
      <c r="P34" s="309">
        <f t="shared" si="5"/>
        <v>0</v>
      </c>
    </row>
    <row r="35" spans="2:16" x14ac:dyDescent="0.25">
      <c r="B35" s="333">
        <v>13</v>
      </c>
      <c r="C35" s="339" t="s">
        <v>181</v>
      </c>
      <c r="D35" s="335">
        <v>10384609</v>
      </c>
      <c r="E35" s="346">
        <v>8000000</v>
      </c>
      <c r="F35" s="340">
        <v>8000000</v>
      </c>
      <c r="G35" s="341">
        <f>F35/1000/24</f>
        <v>333.33333333333331</v>
      </c>
      <c r="H35" s="342">
        <v>1.2676877316123205</v>
      </c>
      <c r="I35" s="342">
        <f>'Multiplicatori 19-20-TAR'!J11</f>
        <v>1.2676877316123207</v>
      </c>
      <c r="J35" s="342">
        <f>' Tarife PS 19-20'!C33</f>
        <v>744</v>
      </c>
      <c r="K35" s="342">
        <f t="shared" si="0"/>
        <v>248000</v>
      </c>
      <c r="L35" s="307">
        <f t="shared" si="1"/>
        <v>314386.55743985553</v>
      </c>
      <c r="M35" s="308">
        <f t="shared" si="2"/>
        <v>2.9345178651089197</v>
      </c>
      <c r="N35" s="308">
        <f t="shared" si="3"/>
        <v>2.0904887124176761</v>
      </c>
      <c r="O35" s="309">
        <f t="shared" si="4"/>
        <v>922572.96935734758</v>
      </c>
      <c r="P35" s="309">
        <f t="shared" si="5"/>
        <v>657221.54966386931</v>
      </c>
    </row>
    <row r="36" spans="2:16" x14ac:dyDescent="0.25">
      <c r="B36" s="333"/>
      <c r="C36" s="339"/>
      <c r="D36" s="335"/>
      <c r="E36" s="346"/>
      <c r="F36" s="344"/>
      <c r="G36" s="345"/>
      <c r="H36" s="338"/>
      <c r="I36" s="338"/>
      <c r="J36" s="342"/>
      <c r="K36" s="342">
        <f t="shared" si="0"/>
        <v>0</v>
      </c>
      <c r="L36" s="307">
        <f t="shared" si="1"/>
        <v>0</v>
      </c>
      <c r="M36" s="308">
        <f t="shared" si="2"/>
        <v>0</v>
      </c>
      <c r="N36" s="308">
        <f t="shared" si="3"/>
        <v>0</v>
      </c>
      <c r="O36" s="309">
        <f t="shared" si="4"/>
        <v>0</v>
      </c>
      <c r="P36" s="309">
        <f t="shared" si="5"/>
        <v>0</v>
      </c>
    </row>
    <row r="37" spans="2:16" x14ac:dyDescent="0.25">
      <c r="B37" s="333">
        <v>14</v>
      </c>
      <c r="C37" s="339" t="s">
        <v>182</v>
      </c>
      <c r="D37" s="335">
        <v>18007782</v>
      </c>
      <c r="E37" s="346">
        <v>8000000</v>
      </c>
      <c r="F37" s="340">
        <v>8000000</v>
      </c>
      <c r="G37" s="341">
        <f>F37/1000/24</f>
        <v>333.33333333333331</v>
      </c>
      <c r="H37" s="342">
        <v>0.80385282942761171</v>
      </c>
      <c r="I37" s="342">
        <f>'Multiplicatori 19-20-TAR'!K11</f>
        <v>0.80385282942761183</v>
      </c>
      <c r="J37" s="342">
        <f>' Tarife PS 19-20'!C35</f>
        <v>720</v>
      </c>
      <c r="K37" s="342">
        <f t="shared" si="0"/>
        <v>240000</v>
      </c>
      <c r="L37" s="307">
        <f t="shared" si="1"/>
        <v>192924.67906262682</v>
      </c>
      <c r="M37" s="308">
        <f t="shared" si="2"/>
        <v>1.8608056464137777</v>
      </c>
      <c r="N37" s="308">
        <f t="shared" si="3"/>
        <v>1.3255987452258007</v>
      </c>
      <c r="O37" s="309">
        <f t="shared" si="4"/>
        <v>358995.33213230188</v>
      </c>
      <c r="P37" s="309">
        <f t="shared" si="5"/>
        <v>255740.7124885084</v>
      </c>
    </row>
    <row r="38" spans="2:16" x14ac:dyDescent="0.25">
      <c r="B38" s="333"/>
      <c r="C38" s="339"/>
      <c r="D38" s="335"/>
      <c r="E38" s="346"/>
      <c r="F38" s="344"/>
      <c r="G38" s="345"/>
      <c r="H38" s="338"/>
      <c r="I38" s="338"/>
      <c r="J38" s="342"/>
      <c r="K38" s="342">
        <f t="shared" si="0"/>
        <v>0</v>
      </c>
      <c r="L38" s="307">
        <f t="shared" si="1"/>
        <v>0</v>
      </c>
      <c r="M38" s="308">
        <f t="shared" si="2"/>
        <v>0</v>
      </c>
      <c r="N38" s="308">
        <f t="shared" si="3"/>
        <v>0</v>
      </c>
      <c r="O38" s="309">
        <f t="shared" si="4"/>
        <v>0</v>
      </c>
      <c r="P38" s="309">
        <f t="shared" si="5"/>
        <v>0</v>
      </c>
    </row>
    <row r="39" spans="2:16" x14ac:dyDescent="0.25">
      <c r="B39" s="333">
        <v>15</v>
      </c>
      <c r="C39" s="339" t="s">
        <v>183</v>
      </c>
      <c r="D39" s="335">
        <v>6097060</v>
      </c>
      <c r="E39" s="346">
        <v>2500000</v>
      </c>
      <c r="F39" s="340">
        <v>2500000</v>
      </c>
      <c r="G39" s="341">
        <f>F39/1000/24</f>
        <v>104.16666666666667</v>
      </c>
      <c r="H39" s="342">
        <v>1.3134793042560542</v>
      </c>
      <c r="I39" s="342">
        <f>'Multiplicatori 19-20-TAR'!L11</f>
        <v>1.3134793042560544</v>
      </c>
      <c r="J39" s="342">
        <f>' Tarife PS 19-20'!C37</f>
        <v>744</v>
      </c>
      <c r="K39" s="342">
        <f t="shared" si="0"/>
        <v>77500</v>
      </c>
      <c r="L39" s="307">
        <f t="shared" si="1"/>
        <v>101794.64607984421</v>
      </c>
      <c r="M39" s="308">
        <f t="shared" si="2"/>
        <v>3.0405188814819044</v>
      </c>
      <c r="N39" s="308">
        <f t="shared" si="3"/>
        <v>2.1660016036040792</v>
      </c>
      <c r="O39" s="309">
        <f t="shared" si="4"/>
        <v>309508.54343953426</v>
      </c>
      <c r="P39" s="309">
        <f t="shared" si="5"/>
        <v>220487.36664725226</v>
      </c>
    </row>
    <row r="40" spans="2:16" x14ac:dyDescent="0.25">
      <c r="B40" s="333"/>
      <c r="C40" s="339"/>
      <c r="D40" s="335"/>
      <c r="E40" s="346"/>
      <c r="F40" s="344"/>
      <c r="G40" s="345"/>
      <c r="H40" s="338"/>
      <c r="I40" s="338"/>
      <c r="J40" s="342"/>
      <c r="K40" s="342">
        <f t="shared" si="0"/>
        <v>0</v>
      </c>
      <c r="L40" s="307">
        <f t="shared" si="1"/>
        <v>0</v>
      </c>
      <c r="M40" s="308">
        <f t="shared" si="2"/>
        <v>0</v>
      </c>
      <c r="N40" s="308">
        <f t="shared" si="3"/>
        <v>0</v>
      </c>
      <c r="O40" s="309">
        <f t="shared" si="4"/>
        <v>0</v>
      </c>
      <c r="P40" s="309">
        <f t="shared" si="5"/>
        <v>0</v>
      </c>
    </row>
    <row r="41" spans="2:16" x14ac:dyDescent="0.25">
      <c r="B41" s="333">
        <v>16</v>
      </c>
      <c r="C41" s="339" t="s">
        <v>184</v>
      </c>
      <c r="D41" s="335">
        <v>0</v>
      </c>
      <c r="E41" s="346">
        <v>0</v>
      </c>
      <c r="F41" s="340">
        <v>0</v>
      </c>
      <c r="G41" s="341">
        <f>F41/1000/24</f>
        <v>0</v>
      </c>
      <c r="H41" s="342">
        <v>1.235767003440932</v>
      </c>
      <c r="I41" s="342">
        <f>'Multiplicatori 19-20-TAR'!M11</f>
        <v>1.2357670034409327</v>
      </c>
      <c r="J41" s="342">
        <f>' Tarife PS 19-20'!C39</f>
        <v>744</v>
      </c>
      <c r="K41" s="342">
        <f t="shared" si="0"/>
        <v>0</v>
      </c>
      <c r="L41" s="307">
        <f t="shared" si="1"/>
        <v>0</v>
      </c>
      <c r="M41" s="308">
        <f t="shared" si="2"/>
        <v>2.8606258925431791</v>
      </c>
      <c r="N41" s="308">
        <f t="shared" si="3"/>
        <v>2.0378496276727533</v>
      </c>
      <c r="O41" s="309">
        <f t="shared" si="4"/>
        <v>0</v>
      </c>
      <c r="P41" s="309">
        <f t="shared" si="5"/>
        <v>0</v>
      </c>
    </row>
    <row r="42" spans="2:16" x14ac:dyDescent="0.25">
      <c r="B42" s="333"/>
      <c r="C42" s="339"/>
      <c r="D42" s="335"/>
      <c r="E42" s="346"/>
      <c r="F42" s="344"/>
      <c r="G42" s="345"/>
      <c r="H42" s="338"/>
      <c r="I42" s="338"/>
      <c r="J42" s="342"/>
      <c r="K42" s="342">
        <f t="shared" si="0"/>
        <v>0</v>
      </c>
      <c r="L42" s="307">
        <f t="shared" si="1"/>
        <v>0</v>
      </c>
      <c r="M42" s="308">
        <f t="shared" si="2"/>
        <v>0</v>
      </c>
      <c r="N42" s="308">
        <f t="shared" si="3"/>
        <v>0</v>
      </c>
      <c r="O42" s="309">
        <f t="shared" si="4"/>
        <v>0</v>
      </c>
      <c r="P42" s="309">
        <f t="shared" si="5"/>
        <v>0</v>
      </c>
    </row>
    <row r="43" spans="2:16" ht="18.75" thickBot="1" x14ac:dyDescent="0.3">
      <c r="B43" s="348">
        <v>17</v>
      </c>
      <c r="C43" s="349" t="s">
        <v>185</v>
      </c>
      <c r="D43" s="350">
        <v>8214744</v>
      </c>
      <c r="E43" s="351">
        <v>0</v>
      </c>
      <c r="F43" s="352">
        <v>0</v>
      </c>
      <c r="G43" s="341">
        <f>F43/1000/24</f>
        <v>0</v>
      </c>
      <c r="H43" s="342">
        <v>1.1026707085273162</v>
      </c>
      <c r="I43" s="342">
        <f>'Multiplicatori 19-20-TAR'!N11</f>
        <v>1.102670708527316</v>
      </c>
      <c r="J43" s="342">
        <f>' Tarife PS 19-20'!C41</f>
        <v>720</v>
      </c>
      <c r="K43" s="342">
        <f t="shared" si="0"/>
        <v>0</v>
      </c>
      <c r="L43" s="307">
        <f t="shared" si="1"/>
        <v>0</v>
      </c>
      <c r="M43" s="308">
        <f t="shared" si="2"/>
        <v>2.5525267877998843</v>
      </c>
      <c r="N43" s="308">
        <f t="shared" si="3"/>
        <v>1.8183663154633245</v>
      </c>
      <c r="O43" s="309">
        <f t="shared" si="4"/>
        <v>0</v>
      </c>
      <c r="P43" s="309">
        <f t="shared" si="5"/>
        <v>0</v>
      </c>
    </row>
    <row r="44" spans="2:16" x14ac:dyDescent="0.25">
      <c r="B44" s="353"/>
      <c r="C44" s="354"/>
      <c r="D44" s="355"/>
      <c r="E44" s="355"/>
      <c r="K44" s="356">
        <f>SUM(K9:K43)</f>
        <v>33225000</v>
      </c>
      <c r="L44" s="356">
        <f>SUM(L9:L43)</f>
        <v>36102959.866659068</v>
      </c>
      <c r="O44" s="356">
        <f>SUM(O9:O43)</f>
        <v>99682547.299822196</v>
      </c>
      <c r="P44" s="356">
        <f>SUM(P9:P43)</f>
        <v>71011746.915224463</v>
      </c>
    </row>
    <row r="45" spans="2:16" x14ac:dyDescent="0.25">
      <c r="B45" s="357" t="s">
        <v>81</v>
      </c>
      <c r="D45" s="355"/>
      <c r="E45" s="355"/>
    </row>
    <row r="46" spans="2:16" x14ac:dyDescent="0.25">
      <c r="B46" s="357" t="s">
        <v>82</v>
      </c>
      <c r="D46" s="355"/>
      <c r="E46" s="355"/>
    </row>
    <row r="47" spans="2:16" x14ac:dyDescent="0.25">
      <c r="B47" s="357"/>
      <c r="D47" s="355"/>
      <c r="E47" s="355"/>
    </row>
    <row r="48" spans="2:16" x14ac:dyDescent="0.25">
      <c r="B48" s="357" t="s">
        <v>83</v>
      </c>
      <c r="D48" s="355"/>
      <c r="E48" s="355"/>
    </row>
    <row r="49" spans="1:16" s="313" customFormat="1" x14ac:dyDescent="0.25">
      <c r="A49" s="302"/>
      <c r="B49" s="357" t="s">
        <v>84</v>
      </c>
      <c r="C49" s="315"/>
      <c r="D49" s="355"/>
      <c r="E49" s="355"/>
      <c r="F49" s="312"/>
      <c r="H49" s="314"/>
      <c r="I49" s="314"/>
      <c r="J49" s="314"/>
      <c r="K49" s="314"/>
      <c r="L49" s="358"/>
      <c r="M49" s="359"/>
      <c r="N49" s="359"/>
      <c r="O49" s="360"/>
      <c r="P49" s="360"/>
    </row>
    <row r="50" spans="1:16" s="313" customFormat="1" x14ac:dyDescent="0.25">
      <c r="A50" s="302"/>
      <c r="B50" s="357"/>
      <c r="C50" s="315"/>
      <c r="D50" s="311"/>
      <c r="E50" s="311"/>
      <c r="F50" s="312"/>
      <c r="H50" s="314"/>
      <c r="I50" s="314"/>
      <c r="J50" s="314"/>
      <c r="K50" s="314"/>
      <c r="L50" s="358"/>
      <c r="M50" s="359"/>
      <c r="N50" s="359"/>
      <c r="O50" s="360"/>
      <c r="P50" s="360"/>
    </row>
    <row r="51" spans="1:16" s="313" customFormat="1" x14ac:dyDescent="0.25">
      <c r="A51" s="302"/>
      <c r="B51" s="357" t="s">
        <v>85</v>
      </c>
      <c r="C51" s="315"/>
      <c r="D51" s="311"/>
      <c r="E51" s="311"/>
      <c r="F51" s="312"/>
      <c r="H51" s="314"/>
      <c r="I51" s="314"/>
      <c r="J51" s="314"/>
      <c r="K51" s="314"/>
      <c r="L51" s="358"/>
      <c r="M51" s="359"/>
      <c r="N51" s="359"/>
      <c r="O51" s="360"/>
      <c r="P51" s="360"/>
    </row>
    <row r="52" spans="1:16" s="313" customFormat="1" x14ac:dyDescent="0.25">
      <c r="A52" s="302"/>
      <c r="B52" s="357" t="s">
        <v>86</v>
      </c>
      <c r="C52" s="315"/>
      <c r="D52" s="311"/>
      <c r="E52" s="311"/>
      <c r="F52" s="312"/>
      <c r="H52" s="314"/>
      <c r="I52" s="314"/>
      <c r="J52" s="314"/>
      <c r="K52" s="314"/>
      <c r="L52" s="358"/>
      <c r="M52" s="359"/>
      <c r="N52" s="359"/>
      <c r="O52" s="360"/>
      <c r="P52" s="360"/>
    </row>
    <row r="53" spans="1:16" s="313" customFormat="1" x14ac:dyDescent="0.25">
      <c r="A53" s="302"/>
      <c r="B53" s="357"/>
      <c r="C53" s="315"/>
      <c r="D53" s="311"/>
      <c r="E53" s="311"/>
      <c r="F53" s="312"/>
      <c r="H53" s="314"/>
      <c r="I53" s="314"/>
      <c r="J53" s="314"/>
      <c r="K53" s="314"/>
      <c r="L53" s="358"/>
      <c r="M53" s="359"/>
      <c r="N53" s="359"/>
      <c r="O53" s="360"/>
      <c r="P53" s="360"/>
    </row>
    <row r="54" spans="1:16" s="313" customFormat="1" x14ac:dyDescent="0.25">
      <c r="A54" s="302"/>
      <c r="B54" s="357" t="s">
        <v>87</v>
      </c>
      <c r="C54" s="315"/>
      <c r="D54" s="311"/>
      <c r="E54" s="311"/>
      <c r="F54" s="312"/>
      <c r="H54" s="314"/>
      <c r="I54" s="314"/>
      <c r="J54" s="314"/>
      <c r="K54" s="314"/>
      <c r="L54" s="358"/>
      <c r="M54" s="359"/>
      <c r="N54" s="359"/>
      <c r="O54" s="360"/>
      <c r="P54" s="360"/>
    </row>
    <row r="55" spans="1:16" s="313" customFormat="1" x14ac:dyDescent="0.25">
      <c r="A55" s="302"/>
      <c r="B55" s="357" t="s">
        <v>88</v>
      </c>
      <c r="C55" s="315"/>
      <c r="D55" s="311"/>
      <c r="E55" s="311"/>
      <c r="F55" s="312"/>
      <c r="H55" s="314"/>
      <c r="I55" s="314"/>
      <c r="J55" s="314"/>
      <c r="K55" s="314"/>
      <c r="L55" s="358"/>
      <c r="M55" s="359"/>
      <c r="N55" s="359"/>
      <c r="O55" s="360"/>
      <c r="P55" s="360"/>
    </row>
    <row r="56" spans="1:16" s="313" customFormat="1" x14ac:dyDescent="0.25">
      <c r="A56" s="302"/>
      <c r="B56" s="357"/>
      <c r="C56" s="315"/>
      <c r="D56" s="311"/>
      <c r="E56" s="311"/>
      <c r="F56" s="312"/>
      <c r="H56" s="314"/>
      <c r="I56" s="314"/>
      <c r="J56" s="314"/>
      <c r="K56" s="314"/>
      <c r="L56" s="358"/>
      <c r="M56" s="359"/>
      <c r="N56" s="359"/>
      <c r="O56" s="360"/>
      <c r="P56" s="360"/>
    </row>
  </sheetData>
  <mergeCells count="6">
    <mergeCell ref="B19:F20"/>
    <mergeCell ref="C2:E2"/>
    <mergeCell ref="B5:B6"/>
    <mergeCell ref="C5:C6"/>
    <mergeCell ref="B7:C7"/>
    <mergeCell ref="B10:F11"/>
  </mergeCells>
  <pageMargins left="0.25" right="0" top="0.5" bottom="0.5" header="0.3" footer="0.3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AI43"/>
  <sheetViews>
    <sheetView topLeftCell="A7" workbookViewId="0">
      <selection activeCell="A37" sqref="A37"/>
    </sheetView>
  </sheetViews>
  <sheetFormatPr defaultColWidth="8.7109375" defaultRowHeight="15" x14ac:dyDescent="0.25"/>
  <cols>
    <col min="1" max="1" width="34.42578125" style="362" bestFit="1" customWidth="1"/>
    <col min="2" max="2" width="19.28515625" style="383" bestFit="1" customWidth="1"/>
    <col min="3" max="3" width="16.42578125" style="383" customWidth="1"/>
    <col min="4" max="5" width="15.42578125" style="383" bestFit="1" customWidth="1"/>
    <col min="6" max="6" width="13.85546875" style="383" bestFit="1" customWidth="1"/>
    <col min="7" max="7" width="13.7109375" style="383" bestFit="1" customWidth="1"/>
    <col min="8" max="8" width="13.85546875" style="383" bestFit="1" customWidth="1"/>
    <col min="9" max="9" width="13.7109375" style="383" bestFit="1" customWidth="1"/>
    <col min="10" max="10" width="13.85546875" style="383" bestFit="1" customWidth="1"/>
    <col min="11" max="11" width="13.7109375" style="383" bestFit="1" customWidth="1"/>
    <col min="12" max="12" width="13.85546875" style="383" bestFit="1" customWidth="1"/>
    <col min="13" max="13" width="13.7109375" style="383" bestFit="1" customWidth="1"/>
    <col min="14" max="14" width="12.7109375" style="383" bestFit="1" customWidth="1"/>
    <col min="15" max="15" width="14.85546875" style="362" bestFit="1" customWidth="1"/>
    <col min="16" max="16" width="11" style="362" bestFit="1" customWidth="1"/>
    <col min="17" max="17" width="15.7109375" style="362" bestFit="1" customWidth="1"/>
    <col min="18" max="18" width="15.140625" style="362" bestFit="1" customWidth="1"/>
    <col min="19" max="19" width="13.7109375" style="362" bestFit="1" customWidth="1"/>
    <col min="20" max="35" width="8.7109375" style="362"/>
    <col min="36" max="16384" width="8.7109375" style="383"/>
  </cols>
  <sheetData>
    <row r="1" spans="1:15" s="362" customFormat="1" x14ac:dyDescent="0.25">
      <c r="A1" s="361"/>
      <c r="B1" s="361" t="s">
        <v>186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5" s="362" customFormat="1" x14ac:dyDescent="0.25">
      <c r="A2" s="363" t="s">
        <v>187</v>
      </c>
      <c r="B2" s="363"/>
      <c r="C2" s="363" t="s">
        <v>188</v>
      </c>
      <c r="D2" s="363" t="s">
        <v>189</v>
      </c>
      <c r="E2" s="363" t="s">
        <v>190</v>
      </c>
      <c r="F2" s="363" t="s">
        <v>191</v>
      </c>
      <c r="G2" s="363" t="s">
        <v>192</v>
      </c>
      <c r="H2" s="363" t="s">
        <v>193</v>
      </c>
      <c r="I2" s="363" t="s">
        <v>194</v>
      </c>
      <c r="J2" s="363" t="s">
        <v>195</v>
      </c>
      <c r="K2" s="363" t="s">
        <v>196</v>
      </c>
      <c r="L2" s="363" t="s">
        <v>197</v>
      </c>
      <c r="M2" s="363" t="s">
        <v>184</v>
      </c>
      <c r="N2" s="363" t="s">
        <v>198</v>
      </c>
      <c r="O2" s="363" t="s">
        <v>199</v>
      </c>
    </row>
    <row r="3" spans="1:15" s="366" customFormat="1" x14ac:dyDescent="0.25">
      <c r="A3" s="364" t="s">
        <v>200</v>
      </c>
      <c r="B3" s="364" t="s">
        <v>199</v>
      </c>
      <c r="C3" s="365">
        <f>E20</f>
        <v>13683649.827500001</v>
      </c>
      <c r="D3" s="365">
        <f>E21</f>
        <v>14733844</v>
      </c>
      <c r="E3" s="365">
        <f>E22</f>
        <v>17906254.935899999</v>
      </c>
      <c r="F3" s="365">
        <f>E23</f>
        <v>19991706.555774502</v>
      </c>
      <c r="G3" s="365">
        <f>E24</f>
        <v>14960622.049383499</v>
      </c>
      <c r="H3" s="365">
        <f>E25</f>
        <v>13895991.641430501</v>
      </c>
      <c r="I3" s="365">
        <f>E26</f>
        <v>12313969.3146275</v>
      </c>
      <c r="J3" s="365">
        <f>E27</f>
        <v>13222698.812728997</v>
      </c>
      <c r="K3" s="365">
        <f>E28</f>
        <v>10529366.300000001</v>
      </c>
      <c r="L3" s="365">
        <f>E29</f>
        <v>13459396.25</v>
      </c>
      <c r="M3" s="365">
        <f>E30</f>
        <v>13055161.8226285</v>
      </c>
      <c r="N3" s="365">
        <f>E31</f>
        <v>12332095.550566999</v>
      </c>
      <c r="O3" s="365">
        <f>+SUM(C3:N3)</f>
        <v>170084757.0605405</v>
      </c>
    </row>
    <row r="4" spans="1:15" s="366" customFormat="1" x14ac:dyDescent="0.25">
      <c r="A4" s="364" t="s">
        <v>201</v>
      </c>
      <c r="B4" s="364"/>
      <c r="C4" s="367">
        <f>+C3/$O$3</f>
        <v>8.0451946805729327E-2</v>
      </c>
      <c r="D4" s="367">
        <f t="shared" ref="D4:N4" si="0">+D3/$O$3</f>
        <v>8.6626481141726233E-2</v>
      </c>
      <c r="E4" s="367">
        <f t="shared" si="0"/>
        <v>0.10527842262505858</v>
      </c>
      <c r="F4" s="367">
        <f t="shared" si="0"/>
        <v>0.11753967199223263</v>
      </c>
      <c r="G4" s="367">
        <f t="shared" si="0"/>
        <v>8.7959804911020734E-2</v>
      </c>
      <c r="H4" s="367">
        <f t="shared" si="0"/>
        <v>8.1700393860011322E-2</v>
      </c>
      <c r="I4" s="367">
        <f t="shared" si="0"/>
        <v>7.2399017568896121E-2</v>
      </c>
      <c r="J4" s="367">
        <f t="shared" si="0"/>
        <v>7.774182143801675E-2</v>
      </c>
      <c r="K4" s="367">
        <f t="shared" si="0"/>
        <v>6.1906583999482949E-2</v>
      </c>
      <c r="L4" s="367">
        <f t="shared" si="0"/>
        <v>7.9133465471037015E-2</v>
      </c>
      <c r="M4" s="367">
        <f t="shared" si="0"/>
        <v>7.6756800834195893E-2</v>
      </c>
      <c r="N4" s="367">
        <f t="shared" si="0"/>
        <v>7.2505589352592451E-2</v>
      </c>
      <c r="O4" s="365"/>
    </row>
    <row r="5" spans="1:15" s="366" customFormat="1" x14ac:dyDescent="0.25">
      <c r="A5" s="364" t="s">
        <v>202</v>
      </c>
      <c r="B5" s="364"/>
      <c r="C5" s="367">
        <f>+C4*12</f>
        <v>0.96542336166875198</v>
      </c>
      <c r="D5" s="367">
        <f t="shared" ref="D5:N5" si="1">+D4*12</f>
        <v>1.0395177737007149</v>
      </c>
      <c r="E5" s="367">
        <f t="shared" si="1"/>
        <v>1.263341071500703</v>
      </c>
      <c r="F5" s="367">
        <f t="shared" si="1"/>
        <v>1.4104760639067915</v>
      </c>
      <c r="G5" s="367">
        <f t="shared" si="1"/>
        <v>1.0555176589322488</v>
      </c>
      <c r="H5" s="367">
        <f t="shared" si="1"/>
        <v>0.98040472632013587</v>
      </c>
      <c r="I5" s="367">
        <f t="shared" si="1"/>
        <v>0.8687882108267535</v>
      </c>
      <c r="J5" s="367">
        <f t="shared" si="1"/>
        <v>0.93290185725620101</v>
      </c>
      <c r="K5" s="367">
        <f t="shared" si="1"/>
        <v>0.74287900799379536</v>
      </c>
      <c r="L5" s="367">
        <f t="shared" si="1"/>
        <v>0.94960158565244424</v>
      </c>
      <c r="M5" s="367">
        <f t="shared" si="1"/>
        <v>0.92108161001035072</v>
      </c>
      <c r="N5" s="367">
        <f t="shared" si="1"/>
        <v>0.87006707223110946</v>
      </c>
      <c r="O5" s="365"/>
    </row>
    <row r="6" spans="1:15" s="366" customFormat="1" x14ac:dyDescent="0.25">
      <c r="A6" s="364" t="s">
        <v>203</v>
      </c>
      <c r="B6" s="364"/>
      <c r="C6" s="367">
        <f>+C5^2</f>
        <v>0.93204226725579387</v>
      </c>
      <c r="D6" s="367">
        <f t="shared" ref="D6:N6" si="2">+D5^2</f>
        <v>1.0805972018396905</v>
      </c>
      <c r="E6" s="367">
        <f t="shared" si="2"/>
        <v>1.5960306629405443</v>
      </c>
      <c r="F6" s="367">
        <f t="shared" si="2"/>
        <v>1.9894427268539954</v>
      </c>
      <c r="G6" s="367">
        <f t="shared" si="2"/>
        <v>1.1141175283178151</v>
      </c>
      <c r="H6" s="367">
        <f t="shared" si="2"/>
        <v>0.96119342739086056</v>
      </c>
      <c r="I6" s="367">
        <f t="shared" si="2"/>
        <v>0.75479295527155155</v>
      </c>
      <c r="J6" s="367">
        <f t="shared" si="2"/>
        <v>0.87030587527206926</v>
      </c>
      <c r="K6" s="367">
        <f t="shared" si="2"/>
        <v>0.55186922051784548</v>
      </c>
      <c r="L6" s="367">
        <f t="shared" si="2"/>
        <v>0.90174317147363636</v>
      </c>
      <c r="M6" s="367">
        <f t="shared" si="2"/>
        <v>0.84839133229925978</v>
      </c>
      <c r="N6" s="367">
        <f t="shared" si="2"/>
        <v>0.75701671018081462</v>
      </c>
      <c r="O6" s="367">
        <f>+AVERAGE(C6:N6)</f>
        <v>1.0297952566344897</v>
      </c>
    </row>
    <row r="7" spans="1:15" s="366" customFormat="1" x14ac:dyDescent="0.25">
      <c r="A7" s="364" t="s">
        <v>204</v>
      </c>
      <c r="B7" s="364"/>
      <c r="C7" s="367">
        <f>+AVERAGE(C6:E6)</f>
        <v>1.2028900440120094</v>
      </c>
      <c r="D7" s="367"/>
      <c r="E7" s="367"/>
      <c r="F7" s="367">
        <f>+AVERAGE(F6:H6)</f>
        <v>1.354917894187557</v>
      </c>
      <c r="G7" s="367"/>
      <c r="H7" s="367"/>
      <c r="I7" s="367">
        <f>+AVERAGE(I6:K6)</f>
        <v>0.72565601702048887</v>
      </c>
      <c r="J7" s="367"/>
      <c r="K7" s="367"/>
      <c r="L7" s="367">
        <f>+AVERAGE(L6:N6)</f>
        <v>0.83571707131790351</v>
      </c>
      <c r="M7" s="367"/>
      <c r="N7" s="367"/>
      <c r="O7" s="367"/>
    </row>
    <row r="8" spans="1:15" s="366" customFormat="1" x14ac:dyDescent="0.25">
      <c r="A8" s="364"/>
      <c r="B8" s="364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</row>
    <row r="9" spans="1:15" s="366" customFormat="1" x14ac:dyDescent="0.25">
      <c r="A9" s="368" t="s">
        <v>205</v>
      </c>
      <c r="B9" s="369">
        <f>1.3/O6</f>
        <v>1.2623868595477667</v>
      </c>
      <c r="C9" s="370">
        <f>+C6*$B$9</f>
        <v>1.1765979107268218</v>
      </c>
      <c r="D9" s="370">
        <f t="shared" ref="D9:O9" si="3">+D6*$B$9</f>
        <v>1.3641317080665112</v>
      </c>
      <c r="E9" s="370">
        <f t="shared" si="3"/>
        <v>2.0148081363314541</v>
      </c>
      <c r="F9" s="370">
        <f t="shared" si="3"/>
        <v>2.5114463562033609</v>
      </c>
      <c r="G9" s="370">
        <f t="shared" si="3"/>
        <v>1.4064473277402467</v>
      </c>
      <c r="H9" s="370">
        <f t="shared" si="3"/>
        <v>1.2133979522219027</v>
      </c>
      <c r="I9" s="370">
        <f t="shared" si="3"/>
        <v>0.9528407084140319</v>
      </c>
      <c r="J9" s="370">
        <f t="shared" si="3"/>
        <v>1.098662700730678</v>
      </c>
      <c r="K9" s="370">
        <f t="shared" si="3"/>
        <v>0.69667245217059692</v>
      </c>
      <c r="L9" s="370">
        <f t="shared" si="3"/>
        <v>1.1383487303552471</v>
      </c>
      <c r="M9" s="370">
        <f t="shared" si="3"/>
        <v>1.0709980696488084</v>
      </c>
      <c r="N9" s="370">
        <f t="shared" si="3"/>
        <v>0.95564794739034042</v>
      </c>
      <c r="O9" s="370">
        <f t="shared" si="3"/>
        <v>1.2999999999999998</v>
      </c>
    </row>
    <row r="10" spans="1:15" s="366" customFormat="1" x14ac:dyDescent="0.25">
      <c r="A10" s="368" t="s">
        <v>206</v>
      </c>
      <c r="B10" s="369"/>
      <c r="C10" s="370">
        <f>+AVERAGE(C9:E9)</f>
        <v>1.5185125850415957</v>
      </c>
      <c r="D10" s="370"/>
      <c r="E10" s="370"/>
      <c r="F10" s="370">
        <f>+AVERAGE(F9:H9)</f>
        <v>1.7104305453885036</v>
      </c>
      <c r="G10" s="370"/>
      <c r="H10" s="370"/>
      <c r="I10" s="370">
        <f>+AVERAGE(I9:K9)</f>
        <v>0.91605862043843567</v>
      </c>
      <c r="J10" s="370"/>
      <c r="K10" s="370"/>
      <c r="L10" s="370">
        <f>+AVERAGE(L9:N9)</f>
        <v>1.0549982491314653</v>
      </c>
      <c r="M10" s="370"/>
      <c r="N10" s="370"/>
      <c r="O10" s="370"/>
    </row>
    <row r="11" spans="1:15" s="366" customFormat="1" x14ac:dyDescent="0.25">
      <c r="A11" s="368" t="s">
        <v>207</v>
      </c>
      <c r="B11" s="369">
        <f>1.5/O6</f>
        <v>1.4566002225551156</v>
      </c>
      <c r="C11" s="370">
        <f t="shared" ref="C11:N11" si="4">+C6*$B$11</f>
        <v>1.3576129739155638</v>
      </c>
      <c r="D11" s="370">
        <f t="shared" si="4"/>
        <v>1.5739981246921284</v>
      </c>
      <c r="E11" s="370">
        <f t="shared" si="4"/>
        <v>2.3247786188439856</v>
      </c>
      <c r="F11" s="370">
        <f t="shared" si="4"/>
        <v>2.8978227186961858</v>
      </c>
      <c r="G11" s="370">
        <f t="shared" si="4"/>
        <v>1.6228238397002848</v>
      </c>
      <c r="H11" s="370">
        <f t="shared" si="4"/>
        <v>1.4000745602560418</v>
      </c>
      <c r="I11" s="370">
        <f t="shared" si="4"/>
        <v>1.0994315866315754</v>
      </c>
      <c r="J11" s="370">
        <f t="shared" si="4"/>
        <v>1.2676877316123207</v>
      </c>
      <c r="K11" s="370">
        <f t="shared" si="4"/>
        <v>0.80385282942761183</v>
      </c>
      <c r="L11" s="370">
        <f t="shared" si="4"/>
        <v>1.3134793042560544</v>
      </c>
      <c r="M11" s="370">
        <f t="shared" si="4"/>
        <v>1.2357670034409327</v>
      </c>
      <c r="N11" s="370">
        <f t="shared" si="4"/>
        <v>1.102670708527316</v>
      </c>
      <c r="O11" s="370">
        <f>+AVERAGE(C11:N11)</f>
        <v>1.5000000000000002</v>
      </c>
    </row>
    <row r="12" spans="1:15" s="366" customFormat="1" x14ac:dyDescent="0.25">
      <c r="A12" s="368" t="s">
        <v>208</v>
      </c>
      <c r="B12" s="369">
        <f>3/O6</f>
        <v>2.9132004451102311</v>
      </c>
      <c r="C12" s="370">
        <f t="shared" ref="C12:O12" si="5">+C6*$B$12</f>
        <v>2.7152259478311276</v>
      </c>
      <c r="D12" s="370">
        <f t="shared" si="5"/>
        <v>3.1479962493842568</v>
      </c>
      <c r="E12" s="370">
        <f t="shared" si="5"/>
        <v>4.6495572376879712</v>
      </c>
      <c r="F12" s="370">
        <f t="shared" si="5"/>
        <v>5.7956454373923716</v>
      </c>
      <c r="G12" s="370">
        <f t="shared" si="5"/>
        <v>3.2456476794005695</v>
      </c>
      <c r="H12" s="370">
        <f t="shared" si="5"/>
        <v>2.8001491205120836</v>
      </c>
      <c r="I12" s="370">
        <f t="shared" si="5"/>
        <v>2.1988631732631507</v>
      </c>
      <c r="J12" s="370">
        <f t="shared" si="5"/>
        <v>2.5353754632246415</v>
      </c>
      <c r="K12" s="370">
        <f t="shared" si="5"/>
        <v>1.6077056588552237</v>
      </c>
      <c r="L12" s="370">
        <f t="shared" si="5"/>
        <v>2.6269586085121088</v>
      </c>
      <c r="M12" s="370">
        <f t="shared" si="5"/>
        <v>2.4715340068818654</v>
      </c>
      <c r="N12" s="370">
        <f t="shared" si="5"/>
        <v>2.2053414170546319</v>
      </c>
      <c r="O12" s="370">
        <f t="shared" si="5"/>
        <v>3</v>
      </c>
    </row>
    <row r="13" spans="1:15" s="366" customFormat="1" x14ac:dyDescent="0.25">
      <c r="A13" s="368"/>
      <c r="B13" s="369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  <row r="14" spans="1:15" s="366" customFormat="1" x14ac:dyDescent="0.25">
      <c r="A14" s="371"/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</row>
    <row r="15" spans="1:15" s="362" customFormat="1" x14ac:dyDescent="0.25"/>
    <row r="16" spans="1:15" s="362" customFormat="1" ht="16.5" x14ac:dyDescent="0.3">
      <c r="A16" s="372" t="s">
        <v>209</v>
      </c>
      <c r="B16" s="373"/>
      <c r="C16" s="374"/>
      <c r="D16" s="374"/>
      <c r="E16" s="374"/>
    </row>
    <row r="17" spans="1:5" s="362" customFormat="1" ht="16.5" x14ac:dyDescent="0.3">
      <c r="A17" s="372"/>
      <c r="B17" s="373"/>
      <c r="C17" s="374"/>
      <c r="D17" s="374"/>
      <c r="E17" s="374"/>
    </row>
    <row r="18" spans="1:5" s="362" customFormat="1" x14ac:dyDescent="0.25">
      <c r="A18" s="375"/>
      <c r="B18" s="376" t="s">
        <v>210</v>
      </c>
      <c r="C18" s="376" t="s">
        <v>211</v>
      </c>
      <c r="D18" s="377"/>
      <c r="E18" s="378" t="s">
        <v>0</v>
      </c>
    </row>
    <row r="19" spans="1:5" s="362" customFormat="1" x14ac:dyDescent="0.25">
      <c r="A19" s="375"/>
      <c r="B19" s="375" t="s">
        <v>212</v>
      </c>
      <c r="C19" s="375" t="s">
        <v>212</v>
      </c>
      <c r="D19" s="375"/>
      <c r="E19" s="378"/>
    </row>
    <row r="20" spans="1:5" s="362" customFormat="1" x14ac:dyDescent="0.25">
      <c r="A20" s="379" t="s">
        <v>213</v>
      </c>
      <c r="B20" s="380">
        <v>11110871.827500001</v>
      </c>
      <c r="C20" s="380">
        <v>2572778</v>
      </c>
      <c r="D20" s="380"/>
      <c r="E20" s="381">
        <f>SUM(B20:D20)</f>
        <v>13683649.827500001</v>
      </c>
    </row>
    <row r="21" spans="1:5" s="362" customFormat="1" x14ac:dyDescent="0.25">
      <c r="A21" s="379" t="s">
        <v>214</v>
      </c>
      <c r="B21" s="380">
        <v>11741625</v>
      </c>
      <c r="C21" s="380">
        <v>2992219</v>
      </c>
      <c r="D21" s="380"/>
      <c r="E21" s="381">
        <f t="shared" ref="E21:E31" si="6">SUM(B21:D21)</f>
        <v>14733844</v>
      </c>
    </row>
    <row r="22" spans="1:5" s="362" customFormat="1" x14ac:dyDescent="0.25">
      <c r="A22" s="379" t="s">
        <v>215</v>
      </c>
      <c r="B22" s="380">
        <v>15046222.935899999</v>
      </c>
      <c r="C22" s="380">
        <v>2860032</v>
      </c>
      <c r="D22" s="380"/>
      <c r="E22" s="381">
        <f t="shared" si="6"/>
        <v>17906254.935899999</v>
      </c>
    </row>
    <row r="23" spans="1:5" s="362" customFormat="1" x14ac:dyDescent="0.25">
      <c r="A23" s="379" t="s">
        <v>216</v>
      </c>
      <c r="B23" s="380">
        <v>16415653.555774502</v>
      </c>
      <c r="C23" s="380">
        <v>3576053</v>
      </c>
      <c r="D23" s="380"/>
      <c r="E23" s="381">
        <f t="shared" si="6"/>
        <v>19991706.555774502</v>
      </c>
    </row>
    <row r="24" spans="1:5" s="362" customFormat="1" x14ac:dyDescent="0.25">
      <c r="A24" s="379" t="s">
        <v>217</v>
      </c>
      <c r="B24" s="380">
        <v>12166909.049383499</v>
      </c>
      <c r="C24" s="380">
        <v>2793713</v>
      </c>
      <c r="D24" s="380"/>
      <c r="E24" s="381">
        <f t="shared" si="6"/>
        <v>14960622.049383499</v>
      </c>
    </row>
    <row r="25" spans="1:5" s="362" customFormat="1" x14ac:dyDescent="0.25">
      <c r="A25" s="379" t="s">
        <v>218</v>
      </c>
      <c r="B25" s="380">
        <v>11165782.641430501</v>
      </c>
      <c r="C25" s="380">
        <v>2730209</v>
      </c>
      <c r="D25" s="380"/>
      <c r="E25" s="381">
        <f t="shared" si="6"/>
        <v>13895991.641430501</v>
      </c>
    </row>
    <row r="26" spans="1:5" s="362" customFormat="1" x14ac:dyDescent="0.25">
      <c r="A26" s="379" t="s">
        <v>219</v>
      </c>
      <c r="B26" s="380">
        <v>9598295.3146275003</v>
      </c>
      <c r="C26" s="380">
        <v>2715674</v>
      </c>
      <c r="D26" s="380"/>
      <c r="E26" s="381">
        <f t="shared" si="6"/>
        <v>12313969.3146275</v>
      </c>
    </row>
    <row r="27" spans="1:5" s="362" customFormat="1" x14ac:dyDescent="0.25">
      <c r="A27" s="379" t="s">
        <v>220</v>
      </c>
      <c r="B27" s="380">
        <v>10573975.812728997</v>
      </c>
      <c r="C27" s="380">
        <v>2648723</v>
      </c>
      <c r="D27" s="380"/>
      <c r="E27" s="381">
        <f t="shared" si="6"/>
        <v>13222698.812728997</v>
      </c>
    </row>
    <row r="28" spans="1:5" s="362" customFormat="1" x14ac:dyDescent="0.25">
      <c r="A28" s="379" t="s">
        <v>221</v>
      </c>
      <c r="B28" s="380">
        <v>7725318.2999999998</v>
      </c>
      <c r="C28" s="380">
        <v>2804048</v>
      </c>
      <c r="D28" s="380"/>
      <c r="E28" s="381">
        <f t="shared" si="6"/>
        <v>10529366.300000001</v>
      </c>
    </row>
    <row r="29" spans="1:5" s="362" customFormat="1" x14ac:dyDescent="0.25">
      <c r="A29" s="379" t="s">
        <v>222</v>
      </c>
      <c r="B29" s="380">
        <v>10844132.25</v>
      </c>
      <c r="C29" s="380">
        <v>2615264</v>
      </c>
      <c r="D29" s="380"/>
      <c r="E29" s="381">
        <f t="shared" si="6"/>
        <v>13459396.25</v>
      </c>
    </row>
    <row r="30" spans="1:5" s="362" customFormat="1" x14ac:dyDescent="0.25">
      <c r="A30" s="379" t="s">
        <v>223</v>
      </c>
      <c r="B30" s="380">
        <v>11010387.8226285</v>
      </c>
      <c r="C30" s="380">
        <v>2044774</v>
      </c>
      <c r="D30" s="380"/>
      <c r="E30" s="381">
        <f t="shared" si="6"/>
        <v>13055161.8226285</v>
      </c>
    </row>
    <row r="31" spans="1:5" s="362" customFormat="1" x14ac:dyDescent="0.25">
      <c r="A31" s="379" t="s">
        <v>224</v>
      </c>
      <c r="B31" s="380">
        <v>10011191.550566999</v>
      </c>
      <c r="C31" s="380">
        <v>2320904</v>
      </c>
      <c r="D31" s="380"/>
      <c r="E31" s="381">
        <f t="shared" si="6"/>
        <v>12332095.550566999</v>
      </c>
    </row>
    <row r="32" spans="1:5" s="362" customFormat="1" x14ac:dyDescent="0.25">
      <c r="B32" s="382">
        <f>SUM(B20:B31)</f>
        <v>137410366.0605405</v>
      </c>
      <c r="C32" s="382">
        <f>SUM(C20:C31)</f>
        <v>32674391</v>
      </c>
      <c r="D32" s="382">
        <f>SUM(D29:D31)</f>
        <v>0</v>
      </c>
      <c r="E32" s="382">
        <f>SUM(E20:E31)</f>
        <v>170084757.0605405</v>
      </c>
    </row>
    <row r="33" s="362" customFormat="1" x14ac:dyDescent="0.25"/>
    <row r="34" s="362" customFormat="1" x14ac:dyDescent="0.25"/>
    <row r="35" s="362" customFormat="1" x14ac:dyDescent="0.25"/>
    <row r="36" s="362" customFormat="1" x14ac:dyDescent="0.25"/>
    <row r="37" s="362" customFormat="1" x14ac:dyDescent="0.25"/>
    <row r="38" s="362" customFormat="1" x14ac:dyDescent="0.25"/>
    <row r="39" s="362" customFormat="1" x14ac:dyDescent="0.25"/>
    <row r="40" s="362" customFormat="1" x14ac:dyDescent="0.25"/>
    <row r="41" s="362" customFormat="1" x14ac:dyDescent="0.25"/>
    <row r="42" s="362" customFormat="1" x14ac:dyDescent="0.25"/>
    <row r="43" s="362" customFormat="1" x14ac:dyDescent="0.25"/>
  </sheetData>
  <pageMargins left="0.25" right="0.2" top="0.25" bottom="0.25" header="0.3" footer="0.3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AI43"/>
  <sheetViews>
    <sheetView topLeftCell="A9" workbookViewId="0">
      <selection activeCell="N3" sqref="N3"/>
    </sheetView>
  </sheetViews>
  <sheetFormatPr defaultColWidth="8.7109375" defaultRowHeight="15" x14ac:dyDescent="0.25"/>
  <cols>
    <col min="1" max="1" width="34.42578125" style="362" bestFit="1" customWidth="1"/>
    <col min="2" max="2" width="19.28515625" style="383" bestFit="1" customWidth="1"/>
    <col min="3" max="3" width="16.42578125" style="383" customWidth="1"/>
    <col min="4" max="5" width="15.42578125" style="383" bestFit="1" customWidth="1"/>
    <col min="6" max="6" width="13.85546875" style="383" bestFit="1" customWidth="1"/>
    <col min="7" max="7" width="13.7109375" style="383" bestFit="1" customWidth="1"/>
    <col min="8" max="8" width="13.85546875" style="383" bestFit="1" customWidth="1"/>
    <col min="9" max="9" width="13.7109375" style="383" bestFit="1" customWidth="1"/>
    <col min="10" max="10" width="13.85546875" style="383" bestFit="1" customWidth="1"/>
    <col min="11" max="11" width="13.7109375" style="383" bestFit="1" customWidth="1"/>
    <col min="12" max="12" width="13.85546875" style="383" bestFit="1" customWidth="1"/>
    <col min="13" max="13" width="13.7109375" style="383" bestFit="1" customWidth="1"/>
    <col min="14" max="14" width="12.7109375" style="383" bestFit="1" customWidth="1"/>
    <col min="15" max="15" width="14.85546875" style="362" bestFit="1" customWidth="1"/>
    <col min="16" max="16" width="11" style="362" bestFit="1" customWidth="1"/>
    <col min="17" max="17" width="15.7109375" style="362" bestFit="1" customWidth="1"/>
    <col min="18" max="18" width="15.140625" style="362" bestFit="1" customWidth="1"/>
    <col min="19" max="19" width="13.7109375" style="362" bestFit="1" customWidth="1"/>
    <col min="20" max="35" width="8.7109375" style="362"/>
    <col min="36" max="16384" width="8.7109375" style="383"/>
  </cols>
  <sheetData>
    <row r="1" spans="1:15" s="362" customFormat="1" x14ac:dyDescent="0.25">
      <c r="A1" s="361"/>
      <c r="B1" s="361" t="s">
        <v>186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5" s="362" customFormat="1" x14ac:dyDescent="0.25">
      <c r="A2" s="363" t="s">
        <v>187</v>
      </c>
      <c r="B2" s="363"/>
      <c r="C2" s="363" t="s">
        <v>188</v>
      </c>
      <c r="D2" s="363" t="s">
        <v>189</v>
      </c>
      <c r="E2" s="363" t="s">
        <v>190</v>
      </c>
      <c r="F2" s="363" t="s">
        <v>191</v>
      </c>
      <c r="G2" s="363" t="s">
        <v>192</v>
      </c>
      <c r="H2" s="363" t="s">
        <v>193</v>
      </c>
      <c r="I2" s="363" t="s">
        <v>194</v>
      </c>
      <c r="J2" s="363" t="s">
        <v>195</v>
      </c>
      <c r="K2" s="363" t="s">
        <v>196</v>
      </c>
      <c r="L2" s="363" t="s">
        <v>197</v>
      </c>
      <c r="M2" s="363" t="s">
        <v>184</v>
      </c>
      <c r="N2" s="363" t="s">
        <v>198</v>
      </c>
      <c r="O2" s="363" t="s">
        <v>199</v>
      </c>
    </row>
    <row r="3" spans="1:15" s="366" customFormat="1" x14ac:dyDescent="0.25">
      <c r="A3" s="364" t="s">
        <v>200</v>
      </c>
      <c r="B3" s="364" t="s">
        <v>199</v>
      </c>
      <c r="C3" s="365">
        <f>F20</f>
        <v>13683649.827500001</v>
      </c>
      <c r="D3" s="365">
        <f>F21</f>
        <v>14733844</v>
      </c>
      <c r="E3" s="365">
        <f>F22</f>
        <v>17906254.935899999</v>
      </c>
      <c r="F3" s="365">
        <f>F23</f>
        <v>19991706.555774502</v>
      </c>
      <c r="G3" s="365">
        <f>F24</f>
        <v>14960622.049383499</v>
      </c>
      <c r="H3" s="365">
        <f>F25</f>
        <v>13895991.641430501</v>
      </c>
      <c r="I3" s="365">
        <f>F26</f>
        <v>12313969.3146275</v>
      </c>
      <c r="J3" s="365">
        <f>F27</f>
        <v>13222698.812728997</v>
      </c>
      <c r="K3" s="365">
        <f>F28</f>
        <v>10529366.300000001</v>
      </c>
      <c r="L3" s="365">
        <f>F29</f>
        <v>20584196.25</v>
      </c>
      <c r="M3" s="365">
        <f>F30</f>
        <v>20179961.822628498</v>
      </c>
      <c r="N3" s="365">
        <f>F31</f>
        <v>19456895.550567001</v>
      </c>
      <c r="O3" s="365">
        <f>+SUM(C3:N3)</f>
        <v>191459157.0605405</v>
      </c>
    </row>
    <row r="4" spans="1:15" s="366" customFormat="1" x14ac:dyDescent="0.25">
      <c r="A4" s="364" t="s">
        <v>201</v>
      </c>
      <c r="B4" s="364"/>
      <c r="C4" s="367">
        <f>+C3/$O$3</f>
        <v>7.1470333608400619E-2</v>
      </c>
      <c r="D4" s="367">
        <f t="shared" ref="D4:N4" si="0">+D3/$O$3</f>
        <v>7.6955546165603739E-2</v>
      </c>
      <c r="E4" s="367">
        <f t="shared" si="0"/>
        <v>9.3525194672396561E-2</v>
      </c>
      <c r="F4" s="367">
        <f t="shared" si="0"/>
        <v>0.1044176045831697</v>
      </c>
      <c r="G4" s="367">
        <f t="shared" si="0"/>
        <v>7.8140018367744424E-2</v>
      </c>
      <c r="H4" s="367">
        <f t="shared" si="0"/>
        <v>7.2579404687530866E-2</v>
      </c>
      <c r="I4" s="367">
        <f t="shared" si="0"/>
        <v>6.4316429173109493E-2</v>
      </c>
      <c r="J4" s="367">
        <f t="shared" si="0"/>
        <v>6.9062765217063518E-2</v>
      </c>
      <c r="K4" s="367">
        <f t="shared" si="0"/>
        <v>5.4995365391014198E-2</v>
      </c>
      <c r="L4" s="367">
        <f t="shared" si="0"/>
        <v>0.10751220555876133</v>
      </c>
      <c r="M4" s="367">
        <f t="shared" si="0"/>
        <v>0.10540087051698173</v>
      </c>
      <c r="N4" s="367">
        <f t="shared" si="0"/>
        <v>0.10162426205822382</v>
      </c>
      <c r="O4" s="365"/>
    </row>
    <row r="5" spans="1:15" s="366" customFormat="1" x14ac:dyDescent="0.25">
      <c r="A5" s="364" t="s">
        <v>202</v>
      </c>
      <c r="B5" s="364"/>
      <c r="C5" s="367">
        <f>+C4*12</f>
        <v>0.85764400330080748</v>
      </c>
      <c r="D5" s="367">
        <f t="shared" ref="D5:N5" si="1">+D4*12</f>
        <v>0.92346655398724486</v>
      </c>
      <c r="E5" s="367">
        <f t="shared" si="1"/>
        <v>1.1223023360687587</v>
      </c>
      <c r="F5" s="367">
        <f t="shared" si="1"/>
        <v>1.2530112549980363</v>
      </c>
      <c r="G5" s="367">
        <f t="shared" si="1"/>
        <v>0.93768022041293309</v>
      </c>
      <c r="H5" s="367">
        <f t="shared" si="1"/>
        <v>0.87095285625037033</v>
      </c>
      <c r="I5" s="367">
        <f t="shared" si="1"/>
        <v>0.77179715007731398</v>
      </c>
      <c r="J5" s="367">
        <f t="shared" si="1"/>
        <v>0.82875318260476227</v>
      </c>
      <c r="K5" s="367">
        <f t="shared" si="1"/>
        <v>0.65994438469217043</v>
      </c>
      <c r="L5" s="367">
        <f t="shared" si="1"/>
        <v>1.2901464667051359</v>
      </c>
      <c r="M5" s="367">
        <f t="shared" si="1"/>
        <v>1.2648104462037808</v>
      </c>
      <c r="N5" s="367">
        <f t="shared" si="1"/>
        <v>1.2194911446986858</v>
      </c>
      <c r="O5" s="365"/>
    </row>
    <row r="6" spans="1:15" s="366" customFormat="1" x14ac:dyDescent="0.25">
      <c r="A6" s="364" t="s">
        <v>203</v>
      </c>
      <c r="B6" s="364"/>
      <c r="C6" s="367">
        <f>+C5^2</f>
        <v>0.73555323639783543</v>
      </c>
      <c r="D6" s="367">
        <f t="shared" ref="D6:N6" si="2">+D5^2</f>
        <v>0.85279047633307703</v>
      </c>
      <c r="E6" s="367">
        <f t="shared" si="2"/>
        <v>1.259562533545393</v>
      </c>
      <c r="F6" s="367">
        <f t="shared" si="2"/>
        <v>1.5700372051517542</v>
      </c>
      <c r="G6" s="367">
        <f t="shared" si="2"/>
        <v>0.87924419575364676</v>
      </c>
      <c r="H6" s="367">
        <f t="shared" si="2"/>
        <v>0.75855887781067821</v>
      </c>
      <c r="I6" s="367">
        <f t="shared" si="2"/>
        <v>0.59567084086746391</v>
      </c>
      <c r="J6" s="367">
        <f t="shared" si="2"/>
        <v>0.68683183767752243</v>
      </c>
      <c r="K6" s="367">
        <f t="shared" si="2"/>
        <v>0.4355265908867274</v>
      </c>
      <c r="L6" s="367">
        <f t="shared" si="2"/>
        <v>1.6644779055517462</v>
      </c>
      <c r="M6" s="367">
        <f t="shared" si="2"/>
        <v>1.5997454648262071</v>
      </c>
      <c r="N6" s="367">
        <f t="shared" si="2"/>
        <v>1.4871586519985109</v>
      </c>
      <c r="O6" s="367">
        <f>+AVERAGE(C6:N6)</f>
        <v>1.0437631514000469</v>
      </c>
    </row>
    <row r="7" spans="1:15" s="366" customFormat="1" x14ac:dyDescent="0.25">
      <c r="A7" s="364" t="s">
        <v>204</v>
      </c>
      <c r="B7" s="364"/>
      <c r="C7" s="367">
        <f>+AVERAGE(C6:E6)</f>
        <v>0.94930208209210187</v>
      </c>
      <c r="D7" s="367"/>
      <c r="E7" s="367"/>
      <c r="F7" s="367">
        <f>+AVERAGE(F6:H6)</f>
        <v>1.0692800929053596</v>
      </c>
      <c r="G7" s="367"/>
      <c r="H7" s="367"/>
      <c r="I7" s="367">
        <f>+AVERAGE(I6:K6)</f>
        <v>0.57267642314390466</v>
      </c>
      <c r="J7" s="367"/>
      <c r="K7" s="367"/>
      <c r="L7" s="367">
        <f>+AVERAGE(L6:N6)</f>
        <v>1.5837940074588215</v>
      </c>
      <c r="M7" s="367"/>
      <c r="N7" s="367"/>
      <c r="O7" s="367"/>
    </row>
    <row r="8" spans="1:15" s="366" customFormat="1" x14ac:dyDescent="0.25">
      <c r="A8" s="364"/>
      <c r="B8" s="364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</row>
    <row r="9" spans="1:15" s="366" customFormat="1" x14ac:dyDescent="0.25">
      <c r="A9" s="368" t="s">
        <v>205</v>
      </c>
      <c r="B9" s="369">
        <f>1.3/O6</f>
        <v>1.2454932886414423</v>
      </c>
      <c r="C9" s="370">
        <f>+C6*$B$9</f>
        <v>0.91612661937199624</v>
      </c>
      <c r="D9" s="370">
        <f t="shared" ref="D9:O9" si="3">+D6*$B$9</f>
        <v>1.0621448148901862</v>
      </c>
      <c r="E9" s="370">
        <f t="shared" si="3"/>
        <v>1.5687766821549984</v>
      </c>
      <c r="F9" s="370">
        <f t="shared" si="3"/>
        <v>1.9554708019338771</v>
      </c>
      <c r="G9" s="370">
        <f t="shared" si="3"/>
        <v>1.0950927448881096</v>
      </c>
      <c r="H9" s="370">
        <f t="shared" si="3"/>
        <v>0.94477999135258361</v>
      </c>
      <c r="I9" s="370">
        <f t="shared" si="3"/>
        <v>0.74190403453983089</v>
      </c>
      <c r="J9" s="370">
        <f t="shared" si="3"/>
        <v>0.85544444425262267</v>
      </c>
      <c r="K9" s="370">
        <f t="shared" si="3"/>
        <v>0.54244544597430611</v>
      </c>
      <c r="L9" s="370">
        <f t="shared" si="3"/>
        <v>2.0730960604566642</v>
      </c>
      <c r="M9" s="370">
        <f t="shared" si="3"/>
        <v>1.9924722399756254</v>
      </c>
      <c r="N9" s="370">
        <f t="shared" si="3"/>
        <v>1.8522461202091995</v>
      </c>
      <c r="O9" s="370">
        <f t="shared" si="3"/>
        <v>1.3</v>
      </c>
    </row>
    <row r="10" spans="1:15" s="366" customFormat="1" x14ac:dyDescent="0.25">
      <c r="A10" s="368" t="s">
        <v>206</v>
      </c>
      <c r="B10" s="369"/>
      <c r="C10" s="370">
        <f>+AVERAGE(C9:E9)</f>
        <v>1.1823493721390603</v>
      </c>
      <c r="D10" s="370"/>
      <c r="E10" s="370"/>
      <c r="F10" s="370">
        <f>+AVERAGE(F9:H9)</f>
        <v>1.3317811793915235</v>
      </c>
      <c r="G10" s="370"/>
      <c r="H10" s="370"/>
      <c r="I10" s="370">
        <f>+AVERAGE(I9:K9)</f>
        <v>0.71326464158891989</v>
      </c>
      <c r="J10" s="370"/>
      <c r="K10" s="370"/>
      <c r="L10" s="370">
        <f>+AVERAGE(L9:N9)</f>
        <v>1.9726048068804964</v>
      </c>
      <c r="M10" s="370"/>
      <c r="N10" s="370"/>
      <c r="O10" s="370"/>
    </row>
    <row r="11" spans="1:15" s="366" customFormat="1" x14ac:dyDescent="0.25">
      <c r="A11" s="368" t="s">
        <v>207</v>
      </c>
      <c r="B11" s="369">
        <f>1.5/O6</f>
        <v>1.4371076407401255</v>
      </c>
      <c r="C11" s="370">
        <f t="shared" ref="C11:N11" si="4">+C6*$B$11</f>
        <v>1.0570691761984572</v>
      </c>
      <c r="D11" s="370">
        <f t="shared" si="4"/>
        <v>1.2255517094886761</v>
      </c>
      <c r="E11" s="370">
        <f t="shared" si="4"/>
        <v>1.8101269409480751</v>
      </c>
      <c r="F11" s="370">
        <f t="shared" si="4"/>
        <v>2.2563124637698579</v>
      </c>
      <c r="G11" s="370">
        <f t="shared" si="4"/>
        <v>1.2635685517939723</v>
      </c>
      <c r="H11" s="370">
        <f t="shared" si="4"/>
        <v>1.090130759252981</v>
      </c>
      <c r="I11" s="370">
        <f t="shared" si="4"/>
        <v>0.85604311677672784</v>
      </c>
      <c r="J11" s="370">
        <f t="shared" si="4"/>
        <v>0.98705128182994917</v>
      </c>
      <c r="K11" s="370">
        <f t="shared" si="4"/>
        <v>0.62589859150881466</v>
      </c>
      <c r="L11" s="370">
        <f t="shared" si="4"/>
        <v>2.3920339159115356</v>
      </c>
      <c r="M11" s="370">
        <f t="shared" si="4"/>
        <v>2.2990064307411058</v>
      </c>
      <c r="N11" s="370">
        <f t="shared" si="4"/>
        <v>2.1372070617798453</v>
      </c>
      <c r="O11" s="370">
        <f>+AVERAGE(C11:N11)</f>
        <v>1.5</v>
      </c>
    </row>
    <row r="12" spans="1:15" s="366" customFormat="1" x14ac:dyDescent="0.25">
      <c r="A12" s="368" t="s">
        <v>208</v>
      </c>
      <c r="B12" s="369">
        <f>3/O6</f>
        <v>2.8742152814802511</v>
      </c>
      <c r="C12" s="370">
        <f t="shared" ref="C12:O12" si="5">+C6*$B$12</f>
        <v>2.1141383523969144</v>
      </c>
      <c r="D12" s="370">
        <f t="shared" si="5"/>
        <v>2.4511034189773522</v>
      </c>
      <c r="E12" s="370">
        <f t="shared" si="5"/>
        <v>3.6202538818961503</v>
      </c>
      <c r="F12" s="370">
        <f t="shared" si="5"/>
        <v>4.5126249275397159</v>
      </c>
      <c r="G12" s="370">
        <f t="shared" si="5"/>
        <v>2.5271371035879446</v>
      </c>
      <c r="H12" s="370">
        <f t="shared" si="5"/>
        <v>2.1802615185059619</v>
      </c>
      <c r="I12" s="370">
        <f t="shared" si="5"/>
        <v>1.7120862335534557</v>
      </c>
      <c r="J12" s="370">
        <f t="shared" si="5"/>
        <v>1.9741025636598983</v>
      </c>
      <c r="K12" s="370">
        <f t="shared" si="5"/>
        <v>1.2517971830176293</v>
      </c>
      <c r="L12" s="370">
        <f t="shared" si="5"/>
        <v>4.7840678318230712</v>
      </c>
      <c r="M12" s="370">
        <f t="shared" si="5"/>
        <v>4.5980128614822116</v>
      </c>
      <c r="N12" s="370">
        <f t="shared" si="5"/>
        <v>4.2744141235596906</v>
      </c>
      <c r="O12" s="370">
        <f t="shared" si="5"/>
        <v>3</v>
      </c>
    </row>
    <row r="13" spans="1:15" s="366" customFormat="1" x14ac:dyDescent="0.25">
      <c r="A13" s="368"/>
      <c r="B13" s="369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  <row r="14" spans="1:15" s="366" customFormat="1" x14ac:dyDescent="0.25">
      <c r="A14" s="371"/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</row>
    <row r="15" spans="1:15" s="362" customFormat="1" x14ac:dyDescent="0.25"/>
    <row r="16" spans="1:15" s="362" customFormat="1" ht="16.5" x14ac:dyDescent="0.3">
      <c r="A16" s="372" t="s">
        <v>209</v>
      </c>
      <c r="B16" s="373"/>
      <c r="C16" s="374"/>
      <c r="D16" s="374"/>
      <c r="E16" s="374"/>
    </row>
    <row r="17" spans="1:6" s="362" customFormat="1" ht="16.5" x14ac:dyDescent="0.3">
      <c r="A17" s="372"/>
      <c r="B17" s="373"/>
      <c r="C17" s="374"/>
      <c r="D17" s="374"/>
      <c r="E17" s="374"/>
    </row>
    <row r="18" spans="1:6" s="362" customFormat="1" x14ac:dyDescent="0.25">
      <c r="A18" s="375"/>
      <c r="B18" s="376" t="s">
        <v>210</v>
      </c>
      <c r="C18" s="376" t="s">
        <v>211</v>
      </c>
      <c r="D18" s="397" t="s">
        <v>252</v>
      </c>
      <c r="E18" s="377" t="s">
        <v>251</v>
      </c>
      <c r="F18" s="378" t="s">
        <v>0</v>
      </c>
    </row>
    <row r="19" spans="1:6" s="362" customFormat="1" x14ac:dyDescent="0.25">
      <c r="A19" s="375"/>
      <c r="B19" s="375" t="s">
        <v>212</v>
      </c>
      <c r="C19" s="375" t="s">
        <v>212</v>
      </c>
      <c r="D19" s="375" t="s">
        <v>212</v>
      </c>
      <c r="E19" s="375" t="s">
        <v>212</v>
      </c>
      <c r="F19" s="375" t="s">
        <v>212</v>
      </c>
    </row>
    <row r="20" spans="1:6" s="362" customFormat="1" x14ac:dyDescent="0.25">
      <c r="A20" s="379" t="s">
        <v>213</v>
      </c>
      <c r="B20" s="380">
        <v>11110871.827500001</v>
      </c>
      <c r="C20" s="380">
        <v>2572778</v>
      </c>
      <c r="D20" s="398"/>
      <c r="E20" s="380"/>
      <c r="F20" s="381">
        <f t="shared" ref="F20:F31" si="6">SUM(B20:E20)</f>
        <v>13683649.827500001</v>
      </c>
    </row>
    <row r="21" spans="1:6" s="362" customFormat="1" x14ac:dyDescent="0.25">
      <c r="A21" s="379" t="s">
        <v>214</v>
      </c>
      <c r="B21" s="380">
        <v>11741625</v>
      </c>
      <c r="C21" s="380">
        <v>2992219</v>
      </c>
      <c r="D21" s="398"/>
      <c r="E21" s="380"/>
      <c r="F21" s="381">
        <f t="shared" si="6"/>
        <v>14733844</v>
      </c>
    </row>
    <row r="22" spans="1:6" s="362" customFormat="1" x14ac:dyDescent="0.25">
      <c r="A22" s="379" t="s">
        <v>215</v>
      </c>
      <c r="B22" s="380">
        <v>15046222.935899999</v>
      </c>
      <c r="C22" s="380">
        <v>2860032</v>
      </c>
      <c r="D22" s="398"/>
      <c r="E22" s="380"/>
      <c r="F22" s="381">
        <f t="shared" si="6"/>
        <v>17906254.935899999</v>
      </c>
    </row>
    <row r="23" spans="1:6" s="362" customFormat="1" x14ac:dyDescent="0.25">
      <c r="A23" s="379" t="s">
        <v>216</v>
      </c>
      <c r="B23" s="380">
        <v>16415653.555774502</v>
      </c>
      <c r="C23" s="380">
        <v>3576053</v>
      </c>
      <c r="D23" s="398"/>
      <c r="E23" s="380"/>
      <c r="F23" s="381">
        <f t="shared" si="6"/>
        <v>19991706.555774502</v>
      </c>
    </row>
    <row r="24" spans="1:6" s="362" customFormat="1" x14ac:dyDescent="0.25">
      <c r="A24" s="379" t="s">
        <v>217</v>
      </c>
      <c r="B24" s="380">
        <v>12166909.049383499</v>
      </c>
      <c r="C24" s="380">
        <v>2793713</v>
      </c>
      <c r="D24" s="398"/>
      <c r="E24" s="380"/>
      <c r="F24" s="381">
        <f t="shared" si="6"/>
        <v>14960622.049383499</v>
      </c>
    </row>
    <row r="25" spans="1:6" s="362" customFormat="1" x14ac:dyDescent="0.25">
      <c r="A25" s="379" t="s">
        <v>218</v>
      </c>
      <c r="B25" s="380">
        <v>11165782.641430501</v>
      </c>
      <c r="C25" s="380">
        <v>2730209</v>
      </c>
      <c r="D25" s="398"/>
      <c r="E25" s="380"/>
      <c r="F25" s="381">
        <f t="shared" si="6"/>
        <v>13895991.641430501</v>
      </c>
    </row>
    <row r="26" spans="1:6" s="362" customFormat="1" x14ac:dyDescent="0.25">
      <c r="A26" s="379" t="s">
        <v>219</v>
      </c>
      <c r="B26" s="380">
        <v>9598295.3146275003</v>
      </c>
      <c r="C26" s="380">
        <v>2715674</v>
      </c>
      <c r="D26" s="398"/>
      <c r="E26" s="380"/>
      <c r="F26" s="381">
        <f t="shared" si="6"/>
        <v>12313969.3146275</v>
      </c>
    </row>
    <row r="27" spans="1:6" s="362" customFormat="1" x14ac:dyDescent="0.25">
      <c r="A27" s="379" t="s">
        <v>220</v>
      </c>
      <c r="B27" s="380">
        <v>10573975.812728997</v>
      </c>
      <c r="C27" s="380">
        <v>2648723</v>
      </c>
      <c r="D27" s="398"/>
      <c r="E27" s="380"/>
      <c r="F27" s="381">
        <f t="shared" si="6"/>
        <v>13222698.812728997</v>
      </c>
    </row>
    <row r="28" spans="1:6" s="362" customFormat="1" x14ac:dyDescent="0.25">
      <c r="A28" s="379" t="s">
        <v>221</v>
      </c>
      <c r="B28" s="380">
        <v>7725318.2999999998</v>
      </c>
      <c r="C28" s="380">
        <v>2804048</v>
      </c>
      <c r="D28" s="398"/>
      <c r="E28" s="380"/>
      <c r="F28" s="381">
        <f t="shared" si="6"/>
        <v>10529366.300000001</v>
      </c>
    </row>
    <row r="29" spans="1:6" s="362" customFormat="1" x14ac:dyDescent="0.25">
      <c r="A29" s="379" t="s">
        <v>222</v>
      </c>
      <c r="B29" s="380">
        <f>10844132.25-D29</f>
        <v>9876882.25</v>
      </c>
      <c r="C29" s="380">
        <v>2615264</v>
      </c>
      <c r="D29" s="398">
        <f>1325*8760/12</f>
        <v>967250</v>
      </c>
      <c r="E29" s="380">
        <f>9760*8760/12</f>
        <v>7124800</v>
      </c>
      <c r="F29" s="381">
        <f t="shared" si="6"/>
        <v>20584196.25</v>
      </c>
    </row>
    <row r="30" spans="1:6" s="362" customFormat="1" x14ac:dyDescent="0.25">
      <c r="A30" s="379" t="s">
        <v>223</v>
      </c>
      <c r="B30" s="380">
        <f>11010387.8226285-D30</f>
        <v>10043137.8226285</v>
      </c>
      <c r="C30" s="380">
        <v>2044774</v>
      </c>
      <c r="D30" s="398">
        <f>1325*8760/12</f>
        <v>967250</v>
      </c>
      <c r="E30" s="380">
        <f>9760*8760/12</f>
        <v>7124800</v>
      </c>
      <c r="F30" s="381">
        <f t="shared" si="6"/>
        <v>20179961.822628498</v>
      </c>
    </row>
    <row r="31" spans="1:6" s="362" customFormat="1" x14ac:dyDescent="0.25">
      <c r="A31" s="379" t="s">
        <v>224</v>
      </c>
      <c r="B31" s="380">
        <f>10011191.550567-D31</f>
        <v>9043941.5505669992</v>
      </c>
      <c r="C31" s="380">
        <v>2320904</v>
      </c>
      <c r="D31" s="398">
        <f>1325*8760/12</f>
        <v>967250</v>
      </c>
      <c r="E31" s="380">
        <f>9760*8760/12</f>
        <v>7124800</v>
      </c>
      <c r="F31" s="381">
        <f t="shared" si="6"/>
        <v>19456895.550567001</v>
      </c>
    </row>
    <row r="32" spans="1:6" s="362" customFormat="1" x14ac:dyDescent="0.25">
      <c r="A32" s="400" t="s">
        <v>0</v>
      </c>
      <c r="B32" s="382">
        <f>SUM(B20:B31)</f>
        <v>134508616.0605405</v>
      </c>
      <c r="C32" s="382">
        <f>SUM(C20:C31)</f>
        <v>32674391</v>
      </c>
      <c r="D32" s="382">
        <f t="shared" ref="D32:F32" si="7">SUM(D20:D31)</f>
        <v>2901750</v>
      </c>
      <c r="E32" s="382">
        <f t="shared" si="7"/>
        <v>21374400</v>
      </c>
      <c r="F32" s="399">
        <f t="shared" si="7"/>
        <v>191459157.0605405</v>
      </c>
    </row>
    <row r="33" s="362" customFormat="1" x14ac:dyDescent="0.25"/>
    <row r="34" s="362" customFormat="1" x14ac:dyDescent="0.25"/>
    <row r="35" s="362" customFormat="1" x14ac:dyDescent="0.25"/>
    <row r="36" s="362" customFormat="1" x14ac:dyDescent="0.25"/>
    <row r="37" s="362" customFormat="1" x14ac:dyDescent="0.25"/>
    <row r="38" s="362" customFormat="1" x14ac:dyDescent="0.25"/>
    <row r="39" s="362" customFormat="1" x14ac:dyDescent="0.25"/>
    <row r="40" s="362" customFormat="1" x14ac:dyDescent="0.25"/>
    <row r="41" s="362" customFormat="1" x14ac:dyDescent="0.25"/>
    <row r="42" s="362" customFormat="1" x14ac:dyDescent="0.25"/>
    <row r="43" s="362" customFormat="1" x14ac:dyDescent="0.25"/>
  </sheetData>
  <pageMargins left="0.25" right="0.2" top="0.25" bottom="0.25" header="0.3" footer="0.3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AI43"/>
  <sheetViews>
    <sheetView topLeftCell="A10" workbookViewId="0">
      <selection activeCell="F7" sqref="F7"/>
    </sheetView>
  </sheetViews>
  <sheetFormatPr defaultColWidth="8.7109375" defaultRowHeight="15" x14ac:dyDescent="0.25"/>
  <cols>
    <col min="1" max="1" width="34.42578125" style="362" bestFit="1" customWidth="1"/>
    <col min="2" max="2" width="19.28515625" style="383" bestFit="1" customWidth="1"/>
    <col min="3" max="3" width="16.42578125" style="383" customWidth="1"/>
    <col min="4" max="5" width="15.42578125" style="383" bestFit="1" customWidth="1"/>
    <col min="6" max="6" width="13.85546875" style="383" bestFit="1" customWidth="1"/>
    <col min="7" max="7" width="13.7109375" style="383" bestFit="1" customWidth="1"/>
    <col min="8" max="8" width="13.85546875" style="383" bestFit="1" customWidth="1"/>
    <col min="9" max="9" width="13.7109375" style="383" bestFit="1" customWidth="1"/>
    <col min="10" max="10" width="13.85546875" style="383" bestFit="1" customWidth="1"/>
    <col min="11" max="11" width="13.7109375" style="383" bestFit="1" customWidth="1"/>
    <col min="12" max="12" width="13.85546875" style="383" bestFit="1" customWidth="1"/>
    <col min="13" max="13" width="13.7109375" style="383" bestFit="1" customWidth="1"/>
    <col min="14" max="14" width="12.7109375" style="383" bestFit="1" customWidth="1"/>
    <col min="15" max="15" width="14.85546875" style="362" bestFit="1" customWidth="1"/>
    <col min="16" max="16" width="11" style="362" bestFit="1" customWidth="1"/>
    <col min="17" max="17" width="15.7109375" style="362" bestFit="1" customWidth="1"/>
    <col min="18" max="18" width="15.140625" style="362" bestFit="1" customWidth="1"/>
    <col min="19" max="19" width="13.7109375" style="362" bestFit="1" customWidth="1"/>
    <col min="20" max="35" width="8.7109375" style="362"/>
    <col min="36" max="16384" width="8.7109375" style="383"/>
  </cols>
  <sheetData>
    <row r="1" spans="1:15" s="362" customFormat="1" x14ac:dyDescent="0.25">
      <c r="A1" s="361"/>
      <c r="B1" s="361" t="s">
        <v>186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5" s="362" customFormat="1" x14ac:dyDescent="0.25">
      <c r="A2" s="363" t="s">
        <v>187</v>
      </c>
      <c r="B2" s="363"/>
      <c r="C2" s="363" t="s">
        <v>188</v>
      </c>
      <c r="D2" s="363" t="s">
        <v>189</v>
      </c>
      <c r="E2" s="363" t="s">
        <v>190</v>
      </c>
      <c r="F2" s="363" t="s">
        <v>191</v>
      </c>
      <c r="G2" s="363" t="s">
        <v>192</v>
      </c>
      <c r="H2" s="363" t="s">
        <v>193</v>
      </c>
      <c r="I2" s="363" t="s">
        <v>194</v>
      </c>
      <c r="J2" s="363" t="s">
        <v>195</v>
      </c>
      <c r="K2" s="363" t="s">
        <v>196</v>
      </c>
      <c r="L2" s="363" t="s">
        <v>197</v>
      </c>
      <c r="M2" s="363" t="s">
        <v>184</v>
      </c>
      <c r="N2" s="363" t="s">
        <v>198</v>
      </c>
      <c r="O2" s="363" t="s">
        <v>199</v>
      </c>
    </row>
    <row r="3" spans="1:15" s="366" customFormat="1" x14ac:dyDescent="0.25">
      <c r="A3" s="364" t="s">
        <v>200</v>
      </c>
      <c r="B3" s="364" t="s">
        <v>199</v>
      </c>
      <c r="C3" s="365">
        <f>F20</f>
        <v>21775699.827500001</v>
      </c>
      <c r="D3" s="365">
        <f>F21</f>
        <v>22825894</v>
      </c>
      <c r="E3" s="365">
        <f>F22</f>
        <v>25998304.935899999</v>
      </c>
      <c r="F3" s="365">
        <f>F23</f>
        <v>28083756.555774502</v>
      </c>
      <c r="G3" s="365">
        <f>F24</f>
        <v>23052672.049383499</v>
      </c>
      <c r="H3" s="365">
        <f>F25</f>
        <v>21988041.641430501</v>
      </c>
      <c r="I3" s="365">
        <f>F26</f>
        <v>20406019.314627498</v>
      </c>
      <c r="J3" s="365">
        <f>F27</f>
        <v>21314748.812728997</v>
      </c>
      <c r="K3" s="365">
        <f>F28</f>
        <v>18621416.300000001</v>
      </c>
      <c r="L3" s="365">
        <f>F29</f>
        <v>20584196.25</v>
      </c>
      <c r="M3" s="365">
        <f>F30</f>
        <v>20179961.822628498</v>
      </c>
      <c r="N3" s="365">
        <f>F31</f>
        <v>19456895.550567001</v>
      </c>
      <c r="O3" s="365">
        <f>+SUM(C3:N3)</f>
        <v>264287607.0605405</v>
      </c>
    </row>
    <row r="4" spans="1:15" s="366" customFormat="1" x14ac:dyDescent="0.25">
      <c r="A4" s="364" t="s">
        <v>201</v>
      </c>
      <c r="B4" s="364"/>
      <c r="C4" s="367">
        <f>+C3/$O$3</f>
        <v>8.2393949794671337E-2</v>
      </c>
      <c r="D4" s="367">
        <f t="shared" ref="D4:N4" si="0">+D3/$O$3</f>
        <v>8.636762901550378E-2</v>
      </c>
      <c r="E4" s="367">
        <f t="shared" si="0"/>
        <v>9.8371260102046915E-2</v>
      </c>
      <c r="F4" s="367">
        <f t="shared" si="0"/>
        <v>0.10626210161016496</v>
      </c>
      <c r="G4" s="367">
        <f t="shared" si="0"/>
        <v>8.7225701975888761E-2</v>
      </c>
      <c r="H4" s="367">
        <f t="shared" si="0"/>
        <v>8.3197399552653595E-2</v>
      </c>
      <c r="I4" s="367">
        <f t="shared" si="0"/>
        <v>7.7211411997661628E-2</v>
      </c>
      <c r="J4" s="367">
        <f t="shared" si="0"/>
        <v>8.0649823311035609E-2</v>
      </c>
      <c r="K4" s="367">
        <f t="shared" si="0"/>
        <v>7.0458908410844942E-2</v>
      </c>
      <c r="L4" s="367">
        <f t="shared" si="0"/>
        <v>7.7885590168004989E-2</v>
      </c>
      <c r="M4" s="367">
        <f t="shared" si="0"/>
        <v>7.635606545109723E-2</v>
      </c>
      <c r="N4" s="367">
        <f t="shared" si="0"/>
        <v>7.3620158610426256E-2</v>
      </c>
      <c r="O4" s="365"/>
    </row>
    <row r="5" spans="1:15" s="366" customFormat="1" x14ac:dyDescent="0.25">
      <c r="A5" s="364" t="s">
        <v>202</v>
      </c>
      <c r="B5" s="364"/>
      <c r="C5" s="367">
        <f>+C4*12</f>
        <v>0.98872739753605599</v>
      </c>
      <c r="D5" s="367">
        <f t="shared" ref="D5:N5" si="1">+D4*12</f>
        <v>1.0364115481860454</v>
      </c>
      <c r="E5" s="367">
        <f t="shared" si="1"/>
        <v>1.1804551212245631</v>
      </c>
      <c r="F5" s="367">
        <f t="shared" si="1"/>
        <v>1.2751452193219794</v>
      </c>
      <c r="G5" s="367">
        <f t="shared" si="1"/>
        <v>1.0467084237106652</v>
      </c>
      <c r="H5" s="367">
        <f t="shared" si="1"/>
        <v>0.99836879463184314</v>
      </c>
      <c r="I5" s="367">
        <f t="shared" si="1"/>
        <v>0.92653694397193953</v>
      </c>
      <c r="J5" s="367">
        <f t="shared" si="1"/>
        <v>0.96779787973242737</v>
      </c>
      <c r="K5" s="367">
        <f t="shared" si="1"/>
        <v>0.84550690093013925</v>
      </c>
      <c r="L5" s="367">
        <f t="shared" si="1"/>
        <v>0.93462708201605982</v>
      </c>
      <c r="M5" s="367">
        <f t="shared" si="1"/>
        <v>0.9162727854131667</v>
      </c>
      <c r="N5" s="367">
        <f t="shared" si="1"/>
        <v>0.88344190332511507</v>
      </c>
      <c r="O5" s="365"/>
    </row>
    <row r="6" spans="1:15" s="366" customFormat="1" x14ac:dyDescent="0.25">
      <c r="A6" s="364" t="s">
        <v>203</v>
      </c>
      <c r="B6" s="364"/>
      <c r="C6" s="367">
        <f>+C5^2</f>
        <v>0.97758186663842206</v>
      </c>
      <c r="D6" s="367">
        <f t="shared" ref="D6:N6" si="2">+D5^2</f>
        <v>1.0741488972133955</v>
      </c>
      <c r="E6" s="367">
        <f t="shared" si="2"/>
        <v>1.3934742932252979</v>
      </c>
      <c r="F6" s="367">
        <f t="shared" si="2"/>
        <v>1.625995330359699</v>
      </c>
      <c r="G6" s="367">
        <f t="shared" si="2"/>
        <v>1.0955985242668653</v>
      </c>
      <c r="H6" s="367">
        <f t="shared" si="2"/>
        <v>0.9967402500946394</v>
      </c>
      <c r="I6" s="367">
        <f t="shared" si="2"/>
        <v>0.85847070854486096</v>
      </c>
      <c r="J6" s="367">
        <f t="shared" si="2"/>
        <v>0.93663273601458197</v>
      </c>
      <c r="K6" s="367">
        <f t="shared" si="2"/>
        <v>0.7148819195204883</v>
      </c>
      <c r="L6" s="367">
        <f t="shared" si="2"/>
        <v>0.87352778243785456</v>
      </c>
      <c r="M6" s="367">
        <f t="shared" si="2"/>
        <v>0.83955581728880302</v>
      </c>
      <c r="N6" s="367">
        <f t="shared" si="2"/>
        <v>0.78046959655070192</v>
      </c>
      <c r="O6" s="367">
        <f>+AVERAGE(C6:N6)</f>
        <v>1.0139231435129674</v>
      </c>
    </row>
    <row r="7" spans="1:15" s="366" customFormat="1" x14ac:dyDescent="0.25">
      <c r="A7" s="364" t="s">
        <v>204</v>
      </c>
      <c r="B7" s="364"/>
      <c r="C7" s="367">
        <f>+AVERAGE(C6:E6)</f>
        <v>1.1484016856923718</v>
      </c>
      <c r="D7" s="367"/>
      <c r="E7" s="367"/>
      <c r="F7" s="367">
        <f>+AVERAGE(F6:H6)</f>
        <v>1.2394447015737347</v>
      </c>
      <c r="G7" s="367"/>
      <c r="H7" s="367"/>
      <c r="I7" s="367">
        <f>+AVERAGE(I6:K6)</f>
        <v>0.8366617880266437</v>
      </c>
      <c r="J7" s="367"/>
      <c r="K7" s="367"/>
      <c r="L7" s="367">
        <f>+AVERAGE(L6:N6)</f>
        <v>0.83118439875911987</v>
      </c>
      <c r="M7" s="367"/>
      <c r="N7" s="367"/>
      <c r="O7" s="367"/>
    </row>
    <row r="8" spans="1:15" s="366" customFormat="1" x14ac:dyDescent="0.25">
      <c r="A8" s="364"/>
      <c r="B8" s="364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</row>
    <row r="9" spans="1:15" s="366" customFormat="1" x14ac:dyDescent="0.25">
      <c r="A9" s="368" t="s">
        <v>205</v>
      </c>
      <c r="B9" s="369">
        <f>1.3/O6</f>
        <v>1.2821484629454796</v>
      </c>
      <c r="C9" s="370">
        <f>+C6*$B$9</f>
        <v>1.2534050877138256</v>
      </c>
      <c r="D9" s="370">
        <f t="shared" ref="D9:O9" si="3">+D6*$B$9</f>
        <v>1.3772183575367369</v>
      </c>
      <c r="E9" s="370">
        <f t="shared" si="3"/>
        <v>1.7866409232128542</v>
      </c>
      <c r="F9" s="370">
        <f t="shared" si="3"/>
        <v>2.0847674135772154</v>
      </c>
      <c r="G9" s="370">
        <f t="shared" si="3"/>
        <v>1.404719963894097</v>
      </c>
      <c r="H9" s="370">
        <f t="shared" si="3"/>
        <v>1.2779689796147349</v>
      </c>
      <c r="I9" s="370">
        <f t="shared" si="3"/>
        <v>1.1006868994445103</v>
      </c>
      <c r="J9" s="370">
        <f t="shared" si="3"/>
        <v>1.2009022228255155</v>
      </c>
      <c r="K9" s="370">
        <f t="shared" si="3"/>
        <v>0.91658475430070807</v>
      </c>
      <c r="L9" s="370">
        <f t="shared" si="3"/>
        <v>1.1199923035928685</v>
      </c>
      <c r="M9" s="370">
        <f t="shared" si="3"/>
        <v>1.0764352006937747</v>
      </c>
      <c r="N9" s="370">
        <f t="shared" si="3"/>
        <v>1.0006778935931611</v>
      </c>
      <c r="O9" s="370">
        <f t="shared" si="3"/>
        <v>1.3</v>
      </c>
    </row>
    <row r="10" spans="1:15" s="366" customFormat="1" x14ac:dyDescent="0.25">
      <c r="A10" s="368" t="s">
        <v>206</v>
      </c>
      <c r="B10" s="369"/>
      <c r="C10" s="370">
        <f>+AVERAGE(C9:E9)</f>
        <v>1.4724214561544722</v>
      </c>
      <c r="D10" s="370"/>
      <c r="E10" s="370"/>
      <c r="F10" s="370">
        <f>+AVERAGE(F9:H9)</f>
        <v>1.5891521190286824</v>
      </c>
      <c r="G10" s="370"/>
      <c r="H10" s="370"/>
      <c r="I10" s="370">
        <f>+AVERAGE(I9:K9)</f>
        <v>1.0727246255235781</v>
      </c>
      <c r="J10" s="370"/>
      <c r="K10" s="370"/>
      <c r="L10" s="370">
        <f>+AVERAGE(L9:N9)</f>
        <v>1.065701799293268</v>
      </c>
      <c r="M10" s="370"/>
      <c r="N10" s="370"/>
      <c r="O10" s="370"/>
    </row>
    <row r="11" spans="1:15" s="366" customFormat="1" x14ac:dyDescent="0.25">
      <c r="A11" s="368" t="s">
        <v>207</v>
      </c>
      <c r="B11" s="369">
        <f>1.5/O6</f>
        <v>1.4794020726293995</v>
      </c>
      <c r="C11" s="370">
        <f t="shared" ref="C11:N11" si="4">+C6*$B$11</f>
        <v>1.4462366396697988</v>
      </c>
      <c r="D11" s="370">
        <f t="shared" si="4"/>
        <v>1.589098104850081</v>
      </c>
      <c r="E11" s="370">
        <f t="shared" si="4"/>
        <v>2.0615087575532933</v>
      </c>
      <c r="F11" s="370">
        <f t="shared" si="4"/>
        <v>2.4055008618198639</v>
      </c>
      <c r="G11" s="370">
        <f t="shared" si="4"/>
        <v>1.6208307275701119</v>
      </c>
      <c r="H11" s="370">
        <f t="shared" si="4"/>
        <v>1.4745795918631555</v>
      </c>
      <c r="I11" s="370">
        <f t="shared" si="4"/>
        <v>1.2700233455128964</v>
      </c>
      <c r="J11" s="370">
        <f t="shared" si="4"/>
        <v>1.3856564109525178</v>
      </c>
      <c r="K11" s="370">
        <f t="shared" si="4"/>
        <v>1.057597793423894</v>
      </c>
      <c r="L11" s="370">
        <f t="shared" si="4"/>
        <v>1.2922988118379253</v>
      </c>
      <c r="M11" s="370">
        <f t="shared" si="4"/>
        <v>1.2420406161851245</v>
      </c>
      <c r="N11" s="370">
        <f t="shared" si="4"/>
        <v>1.1546283387613396</v>
      </c>
      <c r="O11" s="370">
        <f>+AVERAGE(C11:N11)</f>
        <v>1.5</v>
      </c>
    </row>
    <row r="12" spans="1:15" s="366" customFormat="1" x14ac:dyDescent="0.25">
      <c r="A12" s="368" t="s">
        <v>208</v>
      </c>
      <c r="B12" s="369">
        <f>3/O6</f>
        <v>2.958804145258799</v>
      </c>
      <c r="C12" s="370">
        <f t="shared" ref="C12:O12" si="5">+C6*$B$12</f>
        <v>2.8924732793395975</v>
      </c>
      <c r="D12" s="370">
        <f t="shared" si="5"/>
        <v>3.1781962097001619</v>
      </c>
      <c r="E12" s="370">
        <f t="shared" si="5"/>
        <v>4.1230175151065867</v>
      </c>
      <c r="F12" s="370">
        <f t="shared" si="5"/>
        <v>4.8110017236397278</v>
      </c>
      <c r="G12" s="370">
        <f t="shared" si="5"/>
        <v>3.2416614551402239</v>
      </c>
      <c r="H12" s="370">
        <f t="shared" si="5"/>
        <v>2.9491591837263109</v>
      </c>
      <c r="I12" s="370">
        <f t="shared" si="5"/>
        <v>2.5400466910257928</v>
      </c>
      <c r="J12" s="370">
        <f t="shared" si="5"/>
        <v>2.7713128219050356</v>
      </c>
      <c r="K12" s="370">
        <f t="shared" si="5"/>
        <v>2.1151955868477881</v>
      </c>
      <c r="L12" s="370">
        <f t="shared" si="5"/>
        <v>2.5845976236758506</v>
      </c>
      <c r="M12" s="370">
        <f t="shared" si="5"/>
        <v>2.484081232370249</v>
      </c>
      <c r="N12" s="370">
        <f t="shared" si="5"/>
        <v>2.3092566775226793</v>
      </c>
      <c r="O12" s="370">
        <f t="shared" si="5"/>
        <v>3</v>
      </c>
    </row>
    <row r="13" spans="1:15" s="366" customFormat="1" x14ac:dyDescent="0.25">
      <c r="A13" s="368"/>
      <c r="B13" s="369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  <row r="14" spans="1:15" s="366" customFormat="1" x14ac:dyDescent="0.25">
      <c r="A14" s="371"/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</row>
    <row r="15" spans="1:15" s="362" customFormat="1" x14ac:dyDescent="0.25"/>
    <row r="16" spans="1:15" s="362" customFormat="1" ht="16.5" x14ac:dyDescent="0.3">
      <c r="A16" s="372" t="s">
        <v>209</v>
      </c>
      <c r="B16" s="373"/>
      <c r="C16" s="374"/>
      <c r="D16" s="374"/>
      <c r="E16" s="374"/>
    </row>
    <row r="17" spans="1:6" s="362" customFormat="1" ht="16.5" x14ac:dyDescent="0.3">
      <c r="A17" s="372"/>
      <c r="B17" s="373"/>
      <c r="C17" s="374"/>
      <c r="D17" s="374"/>
      <c r="E17" s="374"/>
    </row>
    <row r="18" spans="1:6" s="362" customFormat="1" x14ac:dyDescent="0.25">
      <c r="A18" s="375"/>
      <c r="B18" s="376" t="s">
        <v>210</v>
      </c>
      <c r="C18" s="376" t="s">
        <v>211</v>
      </c>
      <c r="D18" s="397" t="s">
        <v>252</v>
      </c>
      <c r="E18" s="377" t="s">
        <v>251</v>
      </c>
      <c r="F18" s="378" t="s">
        <v>0</v>
      </c>
    </row>
    <row r="19" spans="1:6" s="362" customFormat="1" x14ac:dyDescent="0.25">
      <c r="A19" s="375"/>
      <c r="B19" s="375" t="s">
        <v>212</v>
      </c>
      <c r="C19" s="375" t="s">
        <v>212</v>
      </c>
      <c r="D19" s="375" t="s">
        <v>212</v>
      </c>
      <c r="E19" s="375" t="s">
        <v>212</v>
      </c>
      <c r="F19" s="375" t="s">
        <v>212</v>
      </c>
    </row>
    <row r="20" spans="1:6" s="362" customFormat="1" x14ac:dyDescent="0.25">
      <c r="A20" s="379" t="s">
        <v>213</v>
      </c>
      <c r="B20" s="380">
        <v>11110871.827500001</v>
      </c>
      <c r="C20" s="380">
        <v>2572778</v>
      </c>
      <c r="D20" s="398">
        <f t="shared" ref="D20:D28" si="6">1325*8760/12</f>
        <v>967250</v>
      </c>
      <c r="E20" s="380">
        <f t="shared" ref="E20:E28" si="7">9760*8760/12</f>
        <v>7124800</v>
      </c>
      <c r="F20" s="381">
        <f t="shared" ref="F20:F31" si="8">SUM(B20:E20)</f>
        <v>21775699.827500001</v>
      </c>
    </row>
    <row r="21" spans="1:6" s="362" customFormat="1" x14ac:dyDescent="0.25">
      <c r="A21" s="379" t="s">
        <v>214</v>
      </c>
      <c r="B21" s="380">
        <v>11741625</v>
      </c>
      <c r="C21" s="380">
        <v>2992219</v>
      </c>
      <c r="D21" s="398">
        <f t="shared" si="6"/>
        <v>967250</v>
      </c>
      <c r="E21" s="380">
        <f t="shared" si="7"/>
        <v>7124800</v>
      </c>
      <c r="F21" s="381">
        <f t="shared" si="8"/>
        <v>22825894</v>
      </c>
    </row>
    <row r="22" spans="1:6" s="362" customFormat="1" x14ac:dyDescent="0.25">
      <c r="A22" s="379" t="s">
        <v>215</v>
      </c>
      <c r="B22" s="380">
        <v>15046222.935899999</v>
      </c>
      <c r="C22" s="380">
        <v>2860032</v>
      </c>
      <c r="D22" s="398">
        <f t="shared" si="6"/>
        <v>967250</v>
      </c>
      <c r="E22" s="380">
        <f t="shared" si="7"/>
        <v>7124800</v>
      </c>
      <c r="F22" s="381">
        <f t="shared" si="8"/>
        <v>25998304.935899999</v>
      </c>
    </row>
    <row r="23" spans="1:6" s="362" customFormat="1" x14ac:dyDescent="0.25">
      <c r="A23" s="379" t="s">
        <v>216</v>
      </c>
      <c r="B23" s="380">
        <v>16415653.555774502</v>
      </c>
      <c r="C23" s="380">
        <v>3576053</v>
      </c>
      <c r="D23" s="398">
        <f t="shared" si="6"/>
        <v>967250</v>
      </c>
      <c r="E23" s="380">
        <f t="shared" si="7"/>
        <v>7124800</v>
      </c>
      <c r="F23" s="381">
        <f t="shared" si="8"/>
        <v>28083756.555774502</v>
      </c>
    </row>
    <row r="24" spans="1:6" s="362" customFormat="1" x14ac:dyDescent="0.25">
      <c r="A24" s="379" t="s">
        <v>217</v>
      </c>
      <c r="B24" s="380">
        <v>12166909.049383499</v>
      </c>
      <c r="C24" s="380">
        <v>2793713</v>
      </c>
      <c r="D24" s="398">
        <f t="shared" si="6"/>
        <v>967250</v>
      </c>
      <c r="E24" s="380">
        <f t="shared" si="7"/>
        <v>7124800</v>
      </c>
      <c r="F24" s="381">
        <f t="shared" si="8"/>
        <v>23052672.049383499</v>
      </c>
    </row>
    <row r="25" spans="1:6" s="362" customFormat="1" x14ac:dyDescent="0.25">
      <c r="A25" s="379" t="s">
        <v>218</v>
      </c>
      <c r="B25" s="380">
        <v>11165782.641430501</v>
      </c>
      <c r="C25" s="380">
        <v>2730209</v>
      </c>
      <c r="D25" s="398">
        <f t="shared" si="6"/>
        <v>967250</v>
      </c>
      <c r="E25" s="380">
        <f t="shared" si="7"/>
        <v>7124800</v>
      </c>
      <c r="F25" s="381">
        <f t="shared" si="8"/>
        <v>21988041.641430501</v>
      </c>
    </row>
    <row r="26" spans="1:6" s="362" customFormat="1" x14ac:dyDescent="0.25">
      <c r="A26" s="379" t="s">
        <v>219</v>
      </c>
      <c r="B26" s="380">
        <v>9598295.3146275003</v>
      </c>
      <c r="C26" s="380">
        <v>2715674</v>
      </c>
      <c r="D26" s="398">
        <f t="shared" si="6"/>
        <v>967250</v>
      </c>
      <c r="E26" s="380">
        <f t="shared" si="7"/>
        <v>7124800</v>
      </c>
      <c r="F26" s="381">
        <f t="shared" si="8"/>
        <v>20406019.314627498</v>
      </c>
    </row>
    <row r="27" spans="1:6" s="362" customFormat="1" x14ac:dyDescent="0.25">
      <c r="A27" s="379" t="s">
        <v>220</v>
      </c>
      <c r="B27" s="380">
        <v>10573975.812728997</v>
      </c>
      <c r="C27" s="380">
        <v>2648723</v>
      </c>
      <c r="D27" s="398">
        <f t="shared" si="6"/>
        <v>967250</v>
      </c>
      <c r="E27" s="380">
        <f t="shared" si="7"/>
        <v>7124800</v>
      </c>
      <c r="F27" s="381">
        <f t="shared" si="8"/>
        <v>21314748.812728997</v>
      </c>
    </row>
    <row r="28" spans="1:6" s="362" customFormat="1" x14ac:dyDescent="0.25">
      <c r="A28" s="379" t="s">
        <v>221</v>
      </c>
      <c r="B28" s="380">
        <v>7725318.2999999998</v>
      </c>
      <c r="C28" s="380">
        <v>2804048</v>
      </c>
      <c r="D28" s="398">
        <f t="shared" si="6"/>
        <v>967250</v>
      </c>
      <c r="E28" s="380">
        <f t="shared" si="7"/>
        <v>7124800</v>
      </c>
      <c r="F28" s="381">
        <f t="shared" si="8"/>
        <v>18621416.300000001</v>
      </c>
    </row>
    <row r="29" spans="1:6" s="362" customFormat="1" x14ac:dyDescent="0.25">
      <c r="A29" s="379" t="s">
        <v>222</v>
      </c>
      <c r="B29" s="380">
        <f>10844132.25-D29</f>
        <v>9876882.25</v>
      </c>
      <c r="C29" s="380">
        <v>2615264</v>
      </c>
      <c r="D29" s="398">
        <f>1325*8760/12</f>
        <v>967250</v>
      </c>
      <c r="E29" s="380">
        <f>9760*8760/12</f>
        <v>7124800</v>
      </c>
      <c r="F29" s="381">
        <f t="shared" si="8"/>
        <v>20584196.25</v>
      </c>
    </row>
    <row r="30" spans="1:6" s="362" customFormat="1" x14ac:dyDescent="0.25">
      <c r="A30" s="379" t="s">
        <v>223</v>
      </c>
      <c r="B30" s="380">
        <f>11010387.8226285-D30</f>
        <v>10043137.8226285</v>
      </c>
      <c r="C30" s="380">
        <v>2044774</v>
      </c>
      <c r="D30" s="398">
        <f>1325*8760/12</f>
        <v>967250</v>
      </c>
      <c r="E30" s="380">
        <f>9760*8760/12</f>
        <v>7124800</v>
      </c>
      <c r="F30" s="381">
        <f t="shared" si="8"/>
        <v>20179961.822628498</v>
      </c>
    </row>
    <row r="31" spans="1:6" s="362" customFormat="1" x14ac:dyDescent="0.25">
      <c r="A31" s="379" t="s">
        <v>224</v>
      </c>
      <c r="B31" s="380">
        <f>10011191.550567-D31</f>
        <v>9043941.5505669992</v>
      </c>
      <c r="C31" s="380">
        <v>2320904</v>
      </c>
      <c r="D31" s="398">
        <f>1325*8760/12</f>
        <v>967250</v>
      </c>
      <c r="E31" s="380">
        <f>9760*8760/12</f>
        <v>7124800</v>
      </c>
      <c r="F31" s="381">
        <f t="shared" si="8"/>
        <v>19456895.550567001</v>
      </c>
    </row>
    <row r="32" spans="1:6" s="362" customFormat="1" x14ac:dyDescent="0.25">
      <c r="A32" s="400" t="s">
        <v>0</v>
      </c>
      <c r="B32" s="382">
        <f>SUM(B20:B31)</f>
        <v>134508616.0605405</v>
      </c>
      <c r="C32" s="382">
        <f>SUM(C20:C31)</f>
        <v>32674391</v>
      </c>
      <c r="D32" s="382">
        <f t="shared" ref="D32:F32" si="9">SUM(D20:D31)</f>
        <v>11607000</v>
      </c>
      <c r="E32" s="382">
        <f t="shared" si="9"/>
        <v>85497600</v>
      </c>
      <c r="F32" s="399">
        <f t="shared" si="9"/>
        <v>264287607.0605405</v>
      </c>
    </row>
    <row r="33" s="362" customFormat="1" x14ac:dyDescent="0.25"/>
    <row r="34" s="362" customFormat="1" x14ac:dyDescent="0.25"/>
    <row r="35" s="362" customFormat="1" x14ac:dyDescent="0.25"/>
    <row r="36" s="362" customFormat="1" x14ac:dyDescent="0.25"/>
    <row r="37" s="362" customFormat="1" x14ac:dyDescent="0.25"/>
    <row r="38" s="362" customFormat="1" x14ac:dyDescent="0.25"/>
    <row r="39" s="362" customFormat="1" x14ac:dyDescent="0.25"/>
    <row r="40" s="362" customFormat="1" x14ac:dyDescent="0.25"/>
    <row r="41" s="362" customFormat="1" x14ac:dyDescent="0.25"/>
    <row r="42" s="362" customFormat="1" x14ac:dyDescent="0.25"/>
    <row r="43" s="362" customFormat="1" x14ac:dyDescent="0.25"/>
  </sheetData>
  <pageMargins left="0.25" right="0.2" top="0.25" bottom="0.25" header="0.3" footer="0.3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2:C25"/>
  <sheetViews>
    <sheetView topLeftCell="A7" workbookViewId="0">
      <selection activeCell="A25" sqref="A25"/>
    </sheetView>
  </sheetViews>
  <sheetFormatPr defaultRowHeight="15" x14ac:dyDescent="0.25"/>
  <cols>
    <col min="1" max="1" width="11.5703125" customWidth="1"/>
    <col min="2" max="2" width="11.42578125" bestFit="1" customWidth="1"/>
  </cols>
  <sheetData>
    <row r="2" spans="1:3" x14ac:dyDescent="0.25">
      <c r="A2" t="s">
        <v>89</v>
      </c>
    </row>
    <row r="3" spans="1:3" x14ac:dyDescent="0.25">
      <c r="A3" t="s">
        <v>90</v>
      </c>
    </row>
    <row r="4" spans="1:3" x14ac:dyDescent="0.25">
      <c r="A4" t="s">
        <v>91</v>
      </c>
    </row>
    <row r="5" spans="1:3" x14ac:dyDescent="0.25">
      <c r="A5" t="s">
        <v>92</v>
      </c>
    </row>
    <row r="6" spans="1:3" x14ac:dyDescent="0.25">
      <c r="A6" t="s">
        <v>93</v>
      </c>
    </row>
    <row r="7" spans="1:3" x14ac:dyDescent="0.25">
      <c r="A7" t="s">
        <v>234</v>
      </c>
    </row>
    <row r="8" spans="1:3" x14ac:dyDescent="0.25">
      <c r="A8" t="s">
        <v>235</v>
      </c>
    </row>
    <row r="9" spans="1:3" x14ac:dyDescent="0.25">
      <c r="A9" t="s">
        <v>73</v>
      </c>
      <c r="B9" s="395">
        <v>1332108.8328962084</v>
      </c>
      <c r="C9" t="s">
        <v>240</v>
      </c>
    </row>
    <row r="10" spans="1:3" x14ac:dyDescent="0.25">
      <c r="A10" t="s">
        <v>236</v>
      </c>
      <c r="B10" s="395">
        <v>1487648.5857100312</v>
      </c>
      <c r="C10" t="s">
        <v>240</v>
      </c>
    </row>
    <row r="11" spans="1:3" x14ac:dyDescent="0.25">
      <c r="A11" t="s">
        <v>237</v>
      </c>
      <c r="B11" s="395">
        <v>1771498.3813971777</v>
      </c>
      <c r="C11" t="s">
        <v>240</v>
      </c>
    </row>
    <row r="12" spans="1:3" x14ac:dyDescent="0.25">
      <c r="A12" t="s">
        <v>238</v>
      </c>
      <c r="B12" s="395">
        <v>2125888.9628310972</v>
      </c>
      <c r="C12" t="s">
        <v>240</v>
      </c>
    </row>
    <row r="13" spans="1:3" x14ac:dyDescent="0.25">
      <c r="A13" t="s">
        <v>239</v>
      </c>
      <c r="B13" s="395">
        <v>2156363.3051613551</v>
      </c>
      <c r="C13" t="s">
        <v>240</v>
      </c>
    </row>
    <row r="15" spans="1:3" x14ac:dyDescent="0.25">
      <c r="A15" t="s">
        <v>94</v>
      </c>
    </row>
    <row r="16" spans="1:3" x14ac:dyDescent="0.25">
      <c r="A16" t="s">
        <v>233</v>
      </c>
    </row>
    <row r="17" spans="1:1" x14ac:dyDescent="0.25">
      <c r="A17" t="s">
        <v>228</v>
      </c>
    </row>
    <row r="18" spans="1:1" x14ac:dyDescent="0.25">
      <c r="A18" t="s">
        <v>232</v>
      </c>
    </row>
    <row r="19" spans="1:1" x14ac:dyDescent="0.25">
      <c r="A19" s="67" t="s">
        <v>229</v>
      </c>
    </row>
    <row r="20" spans="1:1" x14ac:dyDescent="0.25">
      <c r="A20" s="67" t="s">
        <v>30</v>
      </c>
    </row>
    <row r="21" spans="1:1" x14ac:dyDescent="0.25">
      <c r="A21" t="s">
        <v>231</v>
      </c>
    </row>
    <row r="22" spans="1:1" x14ac:dyDescent="0.25">
      <c r="A22" t="s">
        <v>230</v>
      </c>
    </row>
    <row r="24" spans="1:1" x14ac:dyDescent="0.25">
      <c r="A24" t="s">
        <v>241</v>
      </c>
    </row>
    <row r="25" spans="1:1" x14ac:dyDescent="0.25">
      <c r="A25" t="s">
        <v>242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53"/>
  <sheetViews>
    <sheetView tabSelected="1" topLeftCell="B1" zoomScale="110" zoomScaleNormal="110" workbookViewId="0">
      <selection activeCell="F5" sqref="F5"/>
    </sheetView>
  </sheetViews>
  <sheetFormatPr defaultColWidth="9" defaultRowHeight="11.85" customHeight="1" x14ac:dyDescent="0.25"/>
  <cols>
    <col min="1" max="1" width="42.42578125" style="407" bestFit="1" customWidth="1"/>
    <col min="2" max="2" width="48.28515625" style="407" customWidth="1"/>
    <col min="3" max="3" width="13.28515625" style="408" customWidth="1"/>
    <col min="4" max="5" width="11.140625" style="408" customWidth="1"/>
    <col min="6" max="6" width="22.28515625" style="408" customWidth="1"/>
    <col min="7" max="9" width="11.140625" style="408" customWidth="1"/>
    <col min="10" max="10" width="23.140625" style="408" customWidth="1"/>
    <col min="11" max="19" width="11.140625" style="408" customWidth="1"/>
    <col min="20" max="20" width="10.140625" style="408" customWidth="1"/>
    <col min="21" max="22" width="11.140625" style="408" customWidth="1"/>
    <col min="23" max="227" width="9" style="407"/>
    <col min="228" max="228" width="35.28515625" style="407" customWidth="1"/>
    <col min="229" max="252" width="11.140625" style="407" customWidth="1"/>
    <col min="253" max="483" width="9" style="407"/>
    <col min="484" max="484" width="35.28515625" style="407" customWidth="1"/>
    <col min="485" max="508" width="11.140625" style="407" customWidth="1"/>
    <col min="509" max="739" width="9" style="407"/>
    <col min="740" max="740" width="35.28515625" style="407" customWidth="1"/>
    <col min="741" max="764" width="11.140625" style="407" customWidth="1"/>
    <col min="765" max="995" width="9" style="407"/>
    <col min="996" max="996" width="35.28515625" style="407" customWidth="1"/>
    <col min="997" max="1020" width="11.140625" style="407" customWidth="1"/>
    <col min="1021" max="1251" width="9" style="407"/>
    <col min="1252" max="1252" width="35.28515625" style="407" customWidth="1"/>
    <col min="1253" max="1276" width="11.140625" style="407" customWidth="1"/>
    <col min="1277" max="1507" width="9" style="407"/>
    <col min="1508" max="1508" width="35.28515625" style="407" customWidth="1"/>
    <col min="1509" max="1532" width="11.140625" style="407" customWidth="1"/>
    <col min="1533" max="1763" width="9" style="407"/>
    <col min="1764" max="1764" width="35.28515625" style="407" customWidth="1"/>
    <col min="1765" max="1788" width="11.140625" style="407" customWidth="1"/>
    <col min="1789" max="2019" width="9" style="407"/>
    <col min="2020" max="2020" width="35.28515625" style="407" customWidth="1"/>
    <col min="2021" max="2044" width="11.140625" style="407" customWidth="1"/>
    <col min="2045" max="2275" width="9" style="407"/>
    <col min="2276" max="2276" width="35.28515625" style="407" customWidth="1"/>
    <col min="2277" max="2300" width="11.140625" style="407" customWidth="1"/>
    <col min="2301" max="2531" width="9" style="407"/>
    <col min="2532" max="2532" width="35.28515625" style="407" customWidth="1"/>
    <col min="2533" max="2556" width="11.140625" style="407" customWidth="1"/>
    <col min="2557" max="2787" width="9" style="407"/>
    <col min="2788" max="2788" width="35.28515625" style="407" customWidth="1"/>
    <col min="2789" max="2812" width="11.140625" style="407" customWidth="1"/>
    <col min="2813" max="3043" width="9" style="407"/>
    <col min="3044" max="3044" width="35.28515625" style="407" customWidth="1"/>
    <col min="3045" max="3068" width="11.140625" style="407" customWidth="1"/>
    <col min="3069" max="3299" width="9" style="407"/>
    <col min="3300" max="3300" width="35.28515625" style="407" customWidth="1"/>
    <col min="3301" max="3324" width="11.140625" style="407" customWidth="1"/>
    <col min="3325" max="3555" width="9" style="407"/>
    <col min="3556" max="3556" width="35.28515625" style="407" customWidth="1"/>
    <col min="3557" max="3580" width="11.140625" style="407" customWidth="1"/>
    <col min="3581" max="3811" width="9" style="407"/>
    <col min="3812" max="3812" width="35.28515625" style="407" customWidth="1"/>
    <col min="3813" max="3836" width="11.140625" style="407" customWidth="1"/>
    <col min="3837" max="4067" width="9" style="407"/>
    <col min="4068" max="4068" width="35.28515625" style="407" customWidth="1"/>
    <col min="4069" max="4092" width="11.140625" style="407" customWidth="1"/>
    <col min="4093" max="4323" width="9" style="407"/>
    <col min="4324" max="4324" width="35.28515625" style="407" customWidth="1"/>
    <col min="4325" max="4348" width="11.140625" style="407" customWidth="1"/>
    <col min="4349" max="4579" width="9" style="407"/>
    <col min="4580" max="4580" width="35.28515625" style="407" customWidth="1"/>
    <col min="4581" max="4604" width="11.140625" style="407" customWidth="1"/>
    <col min="4605" max="4835" width="9" style="407"/>
    <col min="4836" max="4836" width="35.28515625" style="407" customWidth="1"/>
    <col min="4837" max="4860" width="11.140625" style="407" customWidth="1"/>
    <col min="4861" max="5091" width="9" style="407"/>
    <col min="5092" max="5092" width="35.28515625" style="407" customWidth="1"/>
    <col min="5093" max="5116" width="11.140625" style="407" customWidth="1"/>
    <col min="5117" max="5347" width="9" style="407"/>
    <col min="5348" max="5348" width="35.28515625" style="407" customWidth="1"/>
    <col min="5349" max="5372" width="11.140625" style="407" customWidth="1"/>
    <col min="5373" max="5603" width="9" style="407"/>
    <col min="5604" max="5604" width="35.28515625" style="407" customWidth="1"/>
    <col min="5605" max="5628" width="11.140625" style="407" customWidth="1"/>
    <col min="5629" max="5859" width="9" style="407"/>
    <col min="5860" max="5860" width="35.28515625" style="407" customWidth="1"/>
    <col min="5861" max="5884" width="11.140625" style="407" customWidth="1"/>
    <col min="5885" max="6115" width="9" style="407"/>
    <col min="6116" max="6116" width="35.28515625" style="407" customWidth="1"/>
    <col min="6117" max="6140" width="11.140625" style="407" customWidth="1"/>
    <col min="6141" max="6371" width="9" style="407"/>
    <col min="6372" max="6372" width="35.28515625" style="407" customWidth="1"/>
    <col min="6373" max="6396" width="11.140625" style="407" customWidth="1"/>
    <col min="6397" max="6627" width="9" style="407"/>
    <col min="6628" max="6628" width="35.28515625" style="407" customWidth="1"/>
    <col min="6629" max="6652" width="11.140625" style="407" customWidth="1"/>
    <col min="6653" max="6883" width="9" style="407"/>
    <col min="6884" max="6884" width="35.28515625" style="407" customWidth="1"/>
    <col min="6885" max="6908" width="11.140625" style="407" customWidth="1"/>
    <col min="6909" max="7139" width="9" style="407"/>
    <col min="7140" max="7140" width="35.28515625" style="407" customWidth="1"/>
    <col min="7141" max="7164" width="11.140625" style="407" customWidth="1"/>
    <col min="7165" max="7395" width="9" style="407"/>
    <col min="7396" max="7396" width="35.28515625" style="407" customWidth="1"/>
    <col min="7397" max="7420" width="11.140625" style="407" customWidth="1"/>
    <col min="7421" max="7651" width="9" style="407"/>
    <col min="7652" max="7652" width="35.28515625" style="407" customWidth="1"/>
    <col min="7653" max="7676" width="11.140625" style="407" customWidth="1"/>
    <col min="7677" max="7907" width="9" style="407"/>
    <col min="7908" max="7908" width="35.28515625" style="407" customWidth="1"/>
    <col min="7909" max="7932" width="11.140625" style="407" customWidth="1"/>
    <col min="7933" max="8163" width="9" style="407"/>
    <col min="8164" max="8164" width="35.28515625" style="407" customWidth="1"/>
    <col min="8165" max="8188" width="11.140625" style="407" customWidth="1"/>
    <col min="8189" max="8419" width="9" style="407"/>
    <col min="8420" max="8420" width="35.28515625" style="407" customWidth="1"/>
    <col min="8421" max="8444" width="11.140625" style="407" customWidth="1"/>
    <col min="8445" max="8675" width="9" style="407"/>
    <col min="8676" max="8676" width="35.28515625" style="407" customWidth="1"/>
    <col min="8677" max="8700" width="11.140625" style="407" customWidth="1"/>
    <col min="8701" max="8931" width="9" style="407"/>
    <col min="8932" max="8932" width="35.28515625" style="407" customWidth="1"/>
    <col min="8933" max="8956" width="11.140625" style="407" customWidth="1"/>
    <col min="8957" max="9187" width="9" style="407"/>
    <col min="9188" max="9188" width="35.28515625" style="407" customWidth="1"/>
    <col min="9189" max="9212" width="11.140625" style="407" customWidth="1"/>
    <col min="9213" max="9443" width="9" style="407"/>
    <col min="9444" max="9444" width="35.28515625" style="407" customWidth="1"/>
    <col min="9445" max="9468" width="11.140625" style="407" customWidth="1"/>
    <col min="9469" max="9699" width="9" style="407"/>
    <col min="9700" max="9700" width="35.28515625" style="407" customWidth="1"/>
    <col min="9701" max="9724" width="11.140625" style="407" customWidth="1"/>
    <col min="9725" max="9955" width="9" style="407"/>
    <col min="9956" max="9956" width="35.28515625" style="407" customWidth="1"/>
    <col min="9957" max="9980" width="11.140625" style="407" customWidth="1"/>
    <col min="9981" max="10211" width="9" style="407"/>
    <col min="10212" max="10212" width="35.28515625" style="407" customWidth="1"/>
    <col min="10213" max="10236" width="11.140625" style="407" customWidth="1"/>
    <col min="10237" max="10467" width="9" style="407"/>
    <col min="10468" max="10468" width="35.28515625" style="407" customWidth="1"/>
    <col min="10469" max="10492" width="11.140625" style="407" customWidth="1"/>
    <col min="10493" max="10723" width="9" style="407"/>
    <col min="10724" max="10724" width="35.28515625" style="407" customWidth="1"/>
    <col min="10725" max="10748" width="11.140625" style="407" customWidth="1"/>
    <col min="10749" max="10979" width="9" style="407"/>
    <col min="10980" max="10980" width="35.28515625" style="407" customWidth="1"/>
    <col min="10981" max="11004" width="11.140625" style="407" customWidth="1"/>
    <col min="11005" max="11235" width="9" style="407"/>
    <col min="11236" max="11236" width="35.28515625" style="407" customWidth="1"/>
    <col min="11237" max="11260" width="11.140625" style="407" customWidth="1"/>
    <col min="11261" max="11491" width="9" style="407"/>
    <col min="11492" max="11492" width="35.28515625" style="407" customWidth="1"/>
    <col min="11493" max="11516" width="11.140625" style="407" customWidth="1"/>
    <col min="11517" max="11747" width="9" style="407"/>
    <col min="11748" max="11748" width="35.28515625" style="407" customWidth="1"/>
    <col min="11749" max="11772" width="11.140625" style="407" customWidth="1"/>
    <col min="11773" max="12003" width="9" style="407"/>
    <col min="12004" max="12004" width="35.28515625" style="407" customWidth="1"/>
    <col min="12005" max="12028" width="11.140625" style="407" customWidth="1"/>
    <col min="12029" max="12259" width="9" style="407"/>
    <col min="12260" max="12260" width="35.28515625" style="407" customWidth="1"/>
    <col min="12261" max="12284" width="11.140625" style="407" customWidth="1"/>
    <col min="12285" max="12515" width="9" style="407"/>
    <col min="12516" max="12516" width="35.28515625" style="407" customWidth="1"/>
    <col min="12517" max="12540" width="11.140625" style="407" customWidth="1"/>
    <col min="12541" max="12771" width="9" style="407"/>
    <col min="12772" max="12772" width="35.28515625" style="407" customWidth="1"/>
    <col min="12773" max="12796" width="11.140625" style="407" customWidth="1"/>
    <col min="12797" max="13027" width="9" style="407"/>
    <col min="13028" max="13028" width="35.28515625" style="407" customWidth="1"/>
    <col min="13029" max="13052" width="11.140625" style="407" customWidth="1"/>
    <col min="13053" max="13283" width="9" style="407"/>
    <col min="13284" max="13284" width="35.28515625" style="407" customWidth="1"/>
    <col min="13285" max="13308" width="11.140625" style="407" customWidth="1"/>
    <col min="13309" max="13539" width="9" style="407"/>
    <col min="13540" max="13540" width="35.28515625" style="407" customWidth="1"/>
    <col min="13541" max="13564" width="11.140625" style="407" customWidth="1"/>
    <col min="13565" max="13795" width="9" style="407"/>
    <col min="13796" max="13796" width="35.28515625" style="407" customWidth="1"/>
    <col min="13797" max="13820" width="11.140625" style="407" customWidth="1"/>
    <col min="13821" max="14051" width="9" style="407"/>
    <col min="14052" max="14052" width="35.28515625" style="407" customWidth="1"/>
    <col min="14053" max="14076" width="11.140625" style="407" customWidth="1"/>
    <col min="14077" max="14307" width="9" style="407"/>
    <col min="14308" max="14308" width="35.28515625" style="407" customWidth="1"/>
    <col min="14309" max="14332" width="11.140625" style="407" customWidth="1"/>
    <col min="14333" max="14563" width="9" style="407"/>
    <col min="14564" max="14564" width="35.28515625" style="407" customWidth="1"/>
    <col min="14565" max="14588" width="11.140625" style="407" customWidth="1"/>
    <col min="14589" max="14819" width="9" style="407"/>
    <col min="14820" max="14820" width="35.28515625" style="407" customWidth="1"/>
    <col min="14821" max="14844" width="11.140625" style="407" customWidth="1"/>
    <col min="14845" max="15075" width="9" style="407"/>
    <col min="15076" max="15076" width="35.28515625" style="407" customWidth="1"/>
    <col min="15077" max="15100" width="11.140625" style="407" customWidth="1"/>
    <col min="15101" max="15331" width="9" style="407"/>
    <col min="15332" max="15332" width="35.28515625" style="407" customWidth="1"/>
    <col min="15333" max="15356" width="11.140625" style="407" customWidth="1"/>
    <col min="15357" max="15587" width="9" style="407"/>
    <col min="15588" max="15588" width="35.28515625" style="407" customWidth="1"/>
    <col min="15589" max="15612" width="11.140625" style="407" customWidth="1"/>
    <col min="15613" max="15843" width="9" style="407"/>
    <col min="15844" max="15844" width="35.28515625" style="407" customWidth="1"/>
    <col min="15845" max="15868" width="11.140625" style="407" customWidth="1"/>
    <col min="15869" max="16099" width="9" style="407"/>
    <col min="16100" max="16100" width="35.28515625" style="407" customWidth="1"/>
    <col min="16101" max="16124" width="11.140625" style="407" customWidth="1"/>
    <col min="16125" max="16384" width="9" style="407"/>
  </cols>
  <sheetData>
    <row r="1" spans="1:22" ht="11.85" customHeight="1" thickBot="1" x14ac:dyDescent="0.3">
      <c r="B1" s="407" t="s">
        <v>362</v>
      </c>
    </row>
    <row r="2" spans="1:22" ht="11.85" customHeight="1" thickTop="1" x14ac:dyDescent="0.25">
      <c r="C2" s="461" t="s">
        <v>270</v>
      </c>
      <c r="D2" s="462"/>
      <c r="E2" s="462"/>
      <c r="F2" s="463"/>
      <c r="G2" s="469" t="s">
        <v>271</v>
      </c>
      <c r="H2" s="470"/>
      <c r="I2" s="470"/>
      <c r="J2" s="471"/>
      <c r="K2" s="469" t="s">
        <v>272</v>
      </c>
      <c r="L2" s="470"/>
      <c r="M2" s="470"/>
      <c r="N2" s="471"/>
      <c r="O2" s="469" t="s">
        <v>273</v>
      </c>
      <c r="P2" s="470"/>
      <c r="Q2" s="470"/>
      <c r="R2" s="471"/>
      <c r="S2" s="461" t="s">
        <v>274</v>
      </c>
      <c r="T2" s="462"/>
      <c r="U2" s="462"/>
      <c r="V2" s="463"/>
    </row>
    <row r="3" spans="1:22" s="408" customFormat="1" ht="11.85" customHeight="1" x14ac:dyDescent="0.35">
      <c r="B3" s="409" t="s">
        <v>275</v>
      </c>
      <c r="C3" s="464">
        <v>1332108.8328962084</v>
      </c>
      <c r="D3" s="465"/>
      <c r="E3" s="465"/>
      <c r="F3" s="465"/>
      <c r="G3" s="466">
        <v>1487648.5857100312</v>
      </c>
      <c r="H3" s="467"/>
      <c r="I3" s="467"/>
      <c r="J3" s="468"/>
      <c r="K3" s="466">
        <v>1771498.3813971777</v>
      </c>
      <c r="L3" s="467"/>
      <c r="M3" s="467"/>
      <c r="N3" s="468"/>
      <c r="O3" s="466">
        <v>2125888.9628310972</v>
      </c>
      <c r="P3" s="467"/>
      <c r="Q3" s="467"/>
      <c r="R3" s="468"/>
      <c r="S3" s="466">
        <v>2156363.3051613551</v>
      </c>
      <c r="T3" s="467"/>
      <c r="U3" s="467"/>
      <c r="V3" s="468"/>
    </row>
    <row r="4" spans="1:22" s="408" customFormat="1" ht="11.85" customHeight="1" x14ac:dyDescent="0.25">
      <c r="B4" s="410" t="s">
        <v>276</v>
      </c>
      <c r="C4" s="411"/>
      <c r="D4" s="412"/>
      <c r="E4" s="413">
        <f>+C3*E5*E6</f>
        <v>499540.81233607815</v>
      </c>
      <c r="F4" s="414">
        <f>+C3*F5*F6</f>
        <v>499540.81233607815</v>
      </c>
      <c r="G4" s="415"/>
      <c r="H4" s="416"/>
      <c r="I4" s="413">
        <f>+G3*I5*I6</f>
        <v>595059.43428401253</v>
      </c>
      <c r="J4" s="414">
        <f>+G3*J5*J6</f>
        <v>595059.43428401253</v>
      </c>
      <c r="K4" s="415"/>
      <c r="L4" s="416"/>
      <c r="M4" s="413">
        <f>+K3*M5*M6</f>
        <v>752886.81209380052</v>
      </c>
      <c r="N4" s="414">
        <f>+K3*N5*N6</f>
        <v>752886.81209380052</v>
      </c>
      <c r="O4" s="415"/>
      <c r="P4" s="416"/>
      <c r="Q4" s="413">
        <f>+O3*Q5*Q6</f>
        <v>903502.80920321622</v>
      </c>
      <c r="R4" s="414">
        <f>+O3*R5*R6</f>
        <v>903502.80920321622</v>
      </c>
      <c r="S4" s="415"/>
      <c r="T4" s="416"/>
      <c r="U4" s="413">
        <f>+S3*U5*U6</f>
        <v>916454.40469357593</v>
      </c>
      <c r="V4" s="414">
        <f>+S3*V5*V6</f>
        <v>916454.40469357593</v>
      </c>
    </row>
    <row r="5" spans="1:22" s="408" customFormat="1" ht="11.85" customHeight="1" x14ac:dyDescent="0.25">
      <c r="B5" s="410" t="s">
        <v>277</v>
      </c>
      <c r="C5" s="411"/>
      <c r="D5" s="412"/>
      <c r="E5" s="417">
        <v>0.75</v>
      </c>
      <c r="F5" s="418">
        <v>0.75</v>
      </c>
      <c r="G5" s="411"/>
      <c r="H5" s="412"/>
      <c r="I5" s="417">
        <v>0.8</v>
      </c>
      <c r="J5" s="418">
        <v>0.8</v>
      </c>
      <c r="K5" s="411"/>
      <c r="L5" s="412"/>
      <c r="M5" s="417">
        <v>0.85</v>
      </c>
      <c r="N5" s="417">
        <v>0.85</v>
      </c>
      <c r="O5" s="411"/>
      <c r="P5" s="412"/>
      <c r="Q5" s="417">
        <v>0.85</v>
      </c>
      <c r="R5" s="417">
        <v>0.85</v>
      </c>
      <c r="S5" s="411"/>
      <c r="T5" s="412"/>
      <c r="U5" s="417">
        <v>0.85</v>
      </c>
      <c r="V5" s="417">
        <v>0.85</v>
      </c>
    </row>
    <row r="6" spans="1:22" s="408" customFormat="1" ht="12" customHeight="1" thickBot="1" x14ac:dyDescent="0.3">
      <c r="B6" s="419" t="s">
        <v>32</v>
      </c>
      <c r="C6" s="420"/>
      <c r="D6" s="421"/>
      <c r="E6" s="422">
        <v>0.5</v>
      </c>
      <c r="F6" s="423">
        <v>0.5</v>
      </c>
      <c r="G6" s="420"/>
      <c r="H6" s="421"/>
      <c r="I6" s="422">
        <v>0.5</v>
      </c>
      <c r="J6" s="423">
        <v>0.5</v>
      </c>
      <c r="K6" s="420"/>
      <c r="L6" s="421"/>
      <c r="M6" s="422">
        <v>0.5</v>
      </c>
      <c r="N6" s="423">
        <v>0.5</v>
      </c>
      <c r="O6" s="420"/>
      <c r="P6" s="421"/>
      <c r="Q6" s="422">
        <v>0.5</v>
      </c>
      <c r="R6" s="423">
        <v>0.5</v>
      </c>
      <c r="S6" s="420"/>
      <c r="T6" s="421"/>
      <c r="U6" s="422">
        <v>0.5</v>
      </c>
      <c r="V6" s="423">
        <v>0.5</v>
      </c>
    </row>
    <row r="7" spans="1:22" s="408" customFormat="1" ht="23.85" customHeight="1" thickTop="1" x14ac:dyDescent="0.25">
      <c r="B7" s="424" t="s">
        <v>278</v>
      </c>
      <c r="C7" s="425"/>
      <c r="D7" s="426"/>
      <c r="E7" s="427" t="s">
        <v>33</v>
      </c>
      <c r="F7" s="428" t="s">
        <v>34</v>
      </c>
      <c r="G7" s="425"/>
      <c r="H7" s="426"/>
      <c r="I7" s="429" t="s">
        <v>33</v>
      </c>
      <c r="J7" s="430" t="s">
        <v>34</v>
      </c>
      <c r="K7" s="425"/>
      <c r="L7" s="426"/>
      <c r="M7" s="429" t="s">
        <v>33</v>
      </c>
      <c r="N7" s="430" t="s">
        <v>34</v>
      </c>
      <c r="O7" s="425"/>
      <c r="P7" s="426"/>
      <c r="Q7" s="429" t="s">
        <v>33</v>
      </c>
      <c r="R7" s="430" t="s">
        <v>34</v>
      </c>
      <c r="S7" s="425"/>
      <c r="T7" s="426"/>
      <c r="U7" s="429" t="s">
        <v>33</v>
      </c>
      <c r="V7" s="430" t="s">
        <v>34</v>
      </c>
    </row>
    <row r="8" spans="1:22" s="408" customFormat="1" ht="11.85" customHeight="1" x14ac:dyDescent="0.25">
      <c r="B8" s="431" t="s">
        <v>35</v>
      </c>
      <c r="C8" s="432" t="s">
        <v>36</v>
      </c>
      <c r="D8" s="433" t="s">
        <v>37</v>
      </c>
      <c r="E8" s="459" t="s">
        <v>38</v>
      </c>
      <c r="F8" s="460"/>
      <c r="G8" s="432" t="s">
        <v>36</v>
      </c>
      <c r="H8" s="433" t="s">
        <v>37</v>
      </c>
      <c r="I8" s="459" t="s">
        <v>38</v>
      </c>
      <c r="J8" s="460"/>
      <c r="K8" s="432" t="s">
        <v>36</v>
      </c>
      <c r="L8" s="433" t="s">
        <v>37</v>
      </c>
      <c r="M8" s="459" t="s">
        <v>38</v>
      </c>
      <c r="N8" s="460"/>
      <c r="O8" s="432" t="s">
        <v>36</v>
      </c>
      <c r="P8" s="433" t="s">
        <v>37</v>
      </c>
      <c r="Q8" s="459" t="s">
        <v>38</v>
      </c>
      <c r="R8" s="460"/>
      <c r="S8" s="432" t="s">
        <v>36</v>
      </c>
      <c r="T8" s="433" t="s">
        <v>37</v>
      </c>
      <c r="U8" s="459" t="s">
        <v>38</v>
      </c>
      <c r="V8" s="460"/>
    </row>
    <row r="9" spans="1:22" s="408" customFormat="1" ht="11.85" customHeight="1" x14ac:dyDescent="0.25">
      <c r="A9" s="36" t="s">
        <v>43</v>
      </c>
      <c r="B9" s="434" t="s">
        <v>43</v>
      </c>
      <c r="C9" s="435">
        <v>8760</v>
      </c>
      <c r="D9" s="436">
        <v>1</v>
      </c>
      <c r="E9" s="437">
        <v>17826.368051210033</v>
      </c>
      <c r="F9" s="438">
        <v>31433.963747309252</v>
      </c>
      <c r="G9" s="435">
        <v>8760</v>
      </c>
      <c r="H9" s="439">
        <v>1</v>
      </c>
      <c r="I9" s="437">
        <v>20818.451384543368</v>
      </c>
      <c r="J9" s="438">
        <v>34426.047080642587</v>
      </c>
      <c r="K9" s="435">
        <v>8760</v>
      </c>
      <c r="L9" s="439">
        <v>1</v>
      </c>
      <c r="M9" s="437">
        <v>28580.118051210033</v>
      </c>
      <c r="N9" s="438">
        <v>32427.713747309252</v>
      </c>
      <c r="O9" s="435">
        <v>8760</v>
      </c>
      <c r="P9" s="439">
        <v>1</v>
      </c>
      <c r="Q9" s="437">
        <v>28580.118051210033</v>
      </c>
      <c r="R9" s="438">
        <v>32427.713747309252</v>
      </c>
      <c r="S9" s="435">
        <v>8760</v>
      </c>
      <c r="T9" s="439">
        <v>1</v>
      </c>
      <c r="U9" s="437">
        <v>31708.404879301383</v>
      </c>
      <c r="V9" s="438">
        <v>35645.273527392586</v>
      </c>
    </row>
    <row r="10" spans="1:22" s="408" customFormat="1" ht="11.85" customHeight="1" x14ac:dyDescent="0.25">
      <c r="A10" s="71" t="s">
        <v>44</v>
      </c>
      <c r="B10" s="434" t="s">
        <v>44</v>
      </c>
      <c r="C10" s="435">
        <v>8760</v>
      </c>
      <c r="D10" s="439">
        <v>0.5</v>
      </c>
      <c r="E10" s="437">
        <v>936.06885483999565</v>
      </c>
      <c r="F10" s="438"/>
      <c r="G10" s="435">
        <v>8760</v>
      </c>
      <c r="H10" s="439">
        <v>0.5</v>
      </c>
      <c r="I10" s="437">
        <v>936.06885483999565</v>
      </c>
      <c r="J10" s="438"/>
      <c r="K10" s="435">
        <v>8760</v>
      </c>
      <c r="L10" s="439">
        <v>0.5</v>
      </c>
      <c r="M10" s="437">
        <v>936.06885483999565</v>
      </c>
      <c r="N10" s="438"/>
      <c r="O10" s="435">
        <v>8760</v>
      </c>
      <c r="P10" s="439">
        <v>0.5</v>
      </c>
      <c r="Q10" s="437">
        <v>936.06885483999565</v>
      </c>
      <c r="R10" s="438"/>
      <c r="S10" s="435">
        <v>8760</v>
      </c>
      <c r="T10" s="439">
        <v>0.5</v>
      </c>
      <c r="U10" s="437">
        <v>936.06885483999565</v>
      </c>
      <c r="V10" s="438"/>
    </row>
    <row r="11" spans="1:22" s="408" customFormat="1" ht="11.85" customHeight="1" x14ac:dyDescent="0.25">
      <c r="A11" s="71" t="s">
        <v>45</v>
      </c>
      <c r="B11" s="434" t="s">
        <v>45</v>
      </c>
      <c r="C11" s="435">
        <v>8760</v>
      </c>
      <c r="D11" s="439">
        <v>0.5</v>
      </c>
      <c r="E11" s="437"/>
      <c r="F11" s="438">
        <v>1835.4968018394873</v>
      </c>
      <c r="G11" s="435">
        <v>8760</v>
      </c>
      <c r="H11" s="439">
        <v>0.5</v>
      </c>
      <c r="I11" s="437"/>
      <c r="J11" s="438">
        <v>1835.4968018394873</v>
      </c>
      <c r="K11" s="435">
        <v>8760</v>
      </c>
      <c r="L11" s="439">
        <v>0.5</v>
      </c>
      <c r="M11" s="437"/>
      <c r="N11" s="438">
        <v>1835.4968018394873</v>
      </c>
      <c r="O11" s="435">
        <v>8760</v>
      </c>
      <c r="P11" s="439">
        <v>0.5</v>
      </c>
      <c r="Q11" s="437"/>
      <c r="R11" s="438">
        <v>1835.4968018394873</v>
      </c>
      <c r="S11" s="435">
        <v>8760</v>
      </c>
      <c r="T11" s="439">
        <v>0.5</v>
      </c>
      <c r="U11" s="437"/>
      <c r="V11" s="438">
        <v>1835.4968018394873</v>
      </c>
    </row>
    <row r="12" spans="1:22" s="408" customFormat="1" ht="11.85" customHeight="1" x14ac:dyDescent="0.25">
      <c r="A12" s="36" t="s">
        <v>46</v>
      </c>
      <c r="B12" s="36" t="s">
        <v>46</v>
      </c>
      <c r="C12" s="435"/>
      <c r="D12" s="436"/>
      <c r="E12" s="437"/>
      <c r="F12" s="438"/>
      <c r="G12" s="435"/>
      <c r="H12" s="436"/>
      <c r="I12" s="437"/>
      <c r="J12" s="438"/>
      <c r="K12" s="435"/>
      <c r="L12" s="436"/>
      <c r="M12" s="437"/>
      <c r="N12" s="438"/>
      <c r="O12" s="435"/>
      <c r="P12" s="436"/>
      <c r="Q12" s="437"/>
      <c r="R12" s="438"/>
      <c r="S12" s="435"/>
      <c r="T12" s="436"/>
      <c r="U12" s="437"/>
      <c r="V12" s="438"/>
    </row>
    <row r="13" spans="1:22" s="408" customFormat="1" ht="11.85" customHeight="1" x14ac:dyDescent="0.25">
      <c r="A13" s="36" t="s">
        <v>96</v>
      </c>
      <c r="B13" s="434" t="s">
        <v>279</v>
      </c>
      <c r="C13" s="435">
        <v>2208</v>
      </c>
      <c r="D13" s="439">
        <v>1.5185125850415957</v>
      </c>
      <c r="E13" s="437">
        <v>3356.1190086235451</v>
      </c>
      <c r="F13" s="438">
        <v>1165.4274431909712</v>
      </c>
      <c r="G13" s="435">
        <v>2208</v>
      </c>
      <c r="H13" s="439">
        <v>1.1823493721390603</v>
      </c>
      <c r="I13" s="437">
        <v>3356.1190086235451</v>
      </c>
      <c r="J13" s="438">
        <v>1165.4274431909712</v>
      </c>
      <c r="K13" s="435">
        <v>2208</v>
      </c>
      <c r="L13" s="439">
        <v>1.4724214561544722</v>
      </c>
      <c r="M13" s="437">
        <v>3356.1190086235451</v>
      </c>
      <c r="N13" s="438">
        <v>1165.4274431909712</v>
      </c>
      <c r="O13" s="435">
        <v>2208</v>
      </c>
      <c r="P13" s="439">
        <v>1.4724214561544722</v>
      </c>
      <c r="Q13" s="437">
        <v>3356.1190086235451</v>
      </c>
      <c r="R13" s="438">
        <v>1165.4274431909712</v>
      </c>
      <c r="S13" s="435">
        <v>2208</v>
      </c>
      <c r="T13" s="439">
        <v>1.4724214561544722</v>
      </c>
      <c r="U13" s="437">
        <v>3356.1190086235451</v>
      </c>
      <c r="V13" s="438">
        <v>1165.4274431909712</v>
      </c>
    </row>
    <row r="14" spans="1:22" s="408" customFormat="1" ht="11.85" customHeight="1" x14ac:dyDescent="0.25">
      <c r="A14" s="71" t="s">
        <v>97</v>
      </c>
      <c r="B14" s="434" t="s">
        <v>295</v>
      </c>
      <c r="C14" s="435">
        <v>2208</v>
      </c>
      <c r="D14" s="439">
        <v>0.75925629252079785</v>
      </c>
      <c r="E14" s="437">
        <v>12.707146666872832</v>
      </c>
      <c r="F14" s="438"/>
      <c r="G14" s="435">
        <v>2208</v>
      </c>
      <c r="H14" s="439">
        <v>0.59117468606953016</v>
      </c>
      <c r="I14" s="437">
        <v>12.707146666872832</v>
      </c>
      <c r="J14" s="438"/>
      <c r="K14" s="435">
        <v>2208</v>
      </c>
      <c r="L14" s="439">
        <v>0.73621072807723609</v>
      </c>
      <c r="M14" s="437">
        <v>12.707146666872832</v>
      </c>
      <c r="N14" s="438"/>
      <c r="O14" s="435">
        <v>2208</v>
      </c>
      <c r="P14" s="439">
        <v>0.73621072807723609</v>
      </c>
      <c r="Q14" s="437">
        <v>12.707146666872832</v>
      </c>
      <c r="R14" s="438"/>
      <c r="S14" s="435">
        <v>2208</v>
      </c>
      <c r="T14" s="439">
        <v>0.73621072807723609</v>
      </c>
      <c r="U14" s="437">
        <v>12.707146666872832</v>
      </c>
      <c r="V14" s="438"/>
    </row>
    <row r="15" spans="1:22" s="408" customFormat="1" ht="11.85" customHeight="1" x14ac:dyDescent="0.25">
      <c r="A15" s="36" t="s">
        <v>98</v>
      </c>
      <c r="B15" s="434" t="s">
        <v>280</v>
      </c>
      <c r="C15" s="435">
        <v>2160</v>
      </c>
      <c r="D15" s="439">
        <v>1.7104305453885036</v>
      </c>
      <c r="E15" s="437">
        <v>3790.6050882259528</v>
      </c>
      <c r="F15" s="438">
        <v>1748.4830818781622</v>
      </c>
      <c r="G15" s="435">
        <v>2160</v>
      </c>
      <c r="H15" s="439">
        <v>1.3317811793915235</v>
      </c>
      <c r="I15" s="437">
        <v>3790.6050882259528</v>
      </c>
      <c r="J15" s="438">
        <v>1748.4830818781622</v>
      </c>
      <c r="K15" s="435">
        <v>2160</v>
      </c>
      <c r="L15" s="439">
        <v>1.5891521190286824</v>
      </c>
      <c r="M15" s="437">
        <v>3790.6050882259528</v>
      </c>
      <c r="N15" s="438">
        <v>1748.4830818781622</v>
      </c>
      <c r="O15" s="435">
        <v>2160</v>
      </c>
      <c r="P15" s="439">
        <v>1.5891521190286824</v>
      </c>
      <c r="Q15" s="437">
        <v>3790.6050882259528</v>
      </c>
      <c r="R15" s="438">
        <v>1748.4830818781622</v>
      </c>
      <c r="S15" s="435">
        <v>2160</v>
      </c>
      <c r="T15" s="439">
        <v>1.5891521190286824</v>
      </c>
      <c r="U15" s="437">
        <v>3790.6050882259528</v>
      </c>
      <c r="V15" s="438">
        <v>1748.4830818781622</v>
      </c>
    </row>
    <row r="16" spans="1:22" s="408" customFormat="1" ht="11.85" customHeight="1" x14ac:dyDescent="0.25">
      <c r="A16" s="71" t="s">
        <v>99</v>
      </c>
      <c r="B16" s="434" t="s">
        <v>296</v>
      </c>
      <c r="C16" s="435">
        <v>2160</v>
      </c>
      <c r="D16" s="439">
        <v>0.85521527269425179</v>
      </c>
      <c r="E16" s="437">
        <v>1171.8949117740472</v>
      </c>
      <c r="F16" s="438"/>
      <c r="G16" s="435">
        <v>2160</v>
      </c>
      <c r="H16" s="439">
        <v>0.66589058969576176</v>
      </c>
      <c r="I16" s="437">
        <v>1171.8949117740472</v>
      </c>
      <c r="J16" s="438"/>
      <c r="K16" s="435">
        <v>2160</v>
      </c>
      <c r="L16" s="439">
        <v>0.79457605951434118</v>
      </c>
      <c r="M16" s="437">
        <v>1171.8949117740472</v>
      </c>
      <c r="N16" s="438"/>
      <c r="O16" s="435">
        <v>2160</v>
      </c>
      <c r="P16" s="439">
        <v>0.79457605951434118</v>
      </c>
      <c r="Q16" s="437">
        <v>1171.8949117740472</v>
      </c>
      <c r="R16" s="438"/>
      <c r="S16" s="435">
        <v>2160</v>
      </c>
      <c r="T16" s="439">
        <v>0.79457605951434118</v>
      </c>
      <c r="U16" s="437">
        <v>1171.8949117740472</v>
      </c>
      <c r="V16" s="438"/>
    </row>
    <row r="17" spans="1:22" s="408" customFormat="1" ht="11.85" customHeight="1" x14ac:dyDescent="0.25">
      <c r="A17" s="36" t="s">
        <v>100</v>
      </c>
      <c r="B17" s="434" t="s">
        <v>281</v>
      </c>
      <c r="C17" s="435">
        <v>2184</v>
      </c>
      <c r="D17" s="439">
        <v>0.91605862043843567</v>
      </c>
      <c r="E17" s="437">
        <v>75.75</v>
      </c>
      <c r="F17" s="438">
        <v>60.779242672379219</v>
      </c>
      <c r="G17" s="435">
        <v>2184</v>
      </c>
      <c r="H17" s="439">
        <v>0.71326464158891989</v>
      </c>
      <c r="I17" s="437">
        <v>75.75</v>
      </c>
      <c r="J17" s="438">
        <v>60.779242672379219</v>
      </c>
      <c r="K17" s="435">
        <v>2184</v>
      </c>
      <c r="L17" s="439">
        <v>1.0727246255235781</v>
      </c>
      <c r="M17" s="437">
        <v>75.75</v>
      </c>
      <c r="N17" s="438">
        <v>60.779242672379219</v>
      </c>
      <c r="O17" s="435">
        <v>2184</v>
      </c>
      <c r="P17" s="439">
        <v>1.0727246255235781</v>
      </c>
      <c r="Q17" s="437">
        <v>75.75</v>
      </c>
      <c r="R17" s="438">
        <v>60.779242672379219</v>
      </c>
      <c r="S17" s="435">
        <v>2184</v>
      </c>
      <c r="T17" s="439">
        <v>1.0727246255235781</v>
      </c>
      <c r="U17" s="437">
        <v>75.75</v>
      </c>
      <c r="V17" s="438">
        <v>60.779242672379219</v>
      </c>
    </row>
    <row r="18" spans="1:22" s="408" customFormat="1" ht="11.85" customHeight="1" x14ac:dyDescent="0.25">
      <c r="A18" s="71" t="s">
        <v>101</v>
      </c>
      <c r="B18" s="434" t="s">
        <v>297</v>
      </c>
      <c r="C18" s="435">
        <v>2184</v>
      </c>
      <c r="D18" s="439">
        <v>0.45802931021921783</v>
      </c>
      <c r="E18" s="437"/>
      <c r="F18" s="438"/>
      <c r="G18" s="435">
        <v>2184</v>
      </c>
      <c r="H18" s="439">
        <v>0.35663232079445994</v>
      </c>
      <c r="I18" s="437"/>
      <c r="J18" s="438"/>
      <c r="K18" s="435">
        <v>2184</v>
      </c>
      <c r="L18" s="439">
        <v>0.53636231276178903</v>
      </c>
      <c r="M18" s="437"/>
      <c r="N18" s="438"/>
      <c r="O18" s="435">
        <v>2184</v>
      </c>
      <c r="P18" s="439">
        <v>0.53636231276178903</v>
      </c>
      <c r="Q18" s="437"/>
      <c r="R18" s="438"/>
      <c r="S18" s="435">
        <v>2184</v>
      </c>
      <c r="T18" s="439">
        <v>0.53636231276178903</v>
      </c>
      <c r="U18" s="437"/>
      <c r="V18" s="438"/>
    </row>
    <row r="19" spans="1:22" s="408" customFormat="1" ht="11.85" customHeight="1" x14ac:dyDescent="0.25">
      <c r="A19" s="36" t="s">
        <v>102</v>
      </c>
      <c r="B19" s="434" t="s">
        <v>282</v>
      </c>
      <c r="C19" s="435">
        <v>2208</v>
      </c>
      <c r="D19" s="439">
        <v>1.0549982491314653</v>
      </c>
      <c r="E19" s="437">
        <v>42.083333333333336</v>
      </c>
      <c r="F19" s="438">
        <v>56.124221138268815</v>
      </c>
      <c r="G19" s="435">
        <v>2208</v>
      </c>
      <c r="H19" s="439">
        <v>1.9726048068804964</v>
      </c>
      <c r="I19" s="437">
        <v>42.083333333333336</v>
      </c>
      <c r="J19" s="438">
        <v>56.124221138268815</v>
      </c>
      <c r="K19" s="435">
        <v>2208</v>
      </c>
      <c r="L19" s="439">
        <v>1.065701799293268</v>
      </c>
      <c r="M19" s="437">
        <v>42.083333333333336</v>
      </c>
      <c r="N19" s="438">
        <v>56.124221138268815</v>
      </c>
      <c r="O19" s="435">
        <v>2208</v>
      </c>
      <c r="P19" s="439">
        <v>1.065701799293268</v>
      </c>
      <c r="Q19" s="437">
        <v>42.083333333333336</v>
      </c>
      <c r="R19" s="438">
        <v>56.124221138268815</v>
      </c>
      <c r="S19" s="435">
        <v>2208</v>
      </c>
      <c r="T19" s="439">
        <v>1.065701799293268</v>
      </c>
      <c r="U19" s="437">
        <v>42.083333333333336</v>
      </c>
      <c r="V19" s="438">
        <v>56.124221138268815</v>
      </c>
    </row>
    <row r="20" spans="1:22" s="408" customFormat="1" ht="11.85" customHeight="1" x14ac:dyDescent="0.25">
      <c r="A20" s="71" t="s">
        <v>103</v>
      </c>
      <c r="B20" s="434" t="s">
        <v>298</v>
      </c>
      <c r="C20" s="435">
        <v>2208</v>
      </c>
      <c r="D20" s="439">
        <v>0.52749912456573267</v>
      </c>
      <c r="E20" s="437"/>
      <c r="F20" s="438"/>
      <c r="G20" s="435">
        <v>2208</v>
      </c>
      <c r="H20" s="439">
        <v>0.98630240344024822</v>
      </c>
      <c r="I20" s="437"/>
      <c r="J20" s="438"/>
      <c r="K20" s="435">
        <v>2208</v>
      </c>
      <c r="L20" s="439">
        <v>0.53285089964663401</v>
      </c>
      <c r="M20" s="437"/>
      <c r="N20" s="438"/>
      <c r="O20" s="435">
        <v>2208</v>
      </c>
      <c r="P20" s="439">
        <v>0.53285089964663401</v>
      </c>
      <c r="Q20" s="437"/>
      <c r="R20" s="438"/>
      <c r="S20" s="435">
        <v>2208</v>
      </c>
      <c r="T20" s="439">
        <v>0.53285089964663401</v>
      </c>
      <c r="U20" s="437"/>
      <c r="V20" s="438"/>
    </row>
    <row r="21" spans="1:22" s="408" customFormat="1" ht="11.85" customHeight="1" x14ac:dyDescent="0.25">
      <c r="A21" s="36" t="s">
        <v>53</v>
      </c>
      <c r="B21" s="434" t="s">
        <v>47</v>
      </c>
      <c r="C21" s="435">
        <v>744</v>
      </c>
      <c r="D21" s="439">
        <v>1.3576129739155638</v>
      </c>
      <c r="E21" s="437">
        <v>75</v>
      </c>
      <c r="F21" s="438"/>
      <c r="G21" s="435">
        <v>744</v>
      </c>
      <c r="H21" s="439">
        <v>1.0570691761984572</v>
      </c>
      <c r="I21" s="437">
        <v>75</v>
      </c>
      <c r="J21" s="438"/>
      <c r="K21" s="435">
        <v>744</v>
      </c>
      <c r="L21" s="439">
        <v>1.4462366396697988</v>
      </c>
      <c r="M21" s="437">
        <v>75</v>
      </c>
      <c r="N21" s="438"/>
      <c r="O21" s="435">
        <v>744</v>
      </c>
      <c r="P21" s="439">
        <v>1.4462366396697988</v>
      </c>
      <c r="Q21" s="437">
        <v>75</v>
      </c>
      <c r="R21" s="438"/>
      <c r="S21" s="435">
        <v>744</v>
      </c>
      <c r="T21" s="439">
        <v>1.4462366396697988</v>
      </c>
      <c r="U21" s="437">
        <v>75</v>
      </c>
      <c r="V21" s="438"/>
    </row>
    <row r="22" spans="1:22" s="408" customFormat="1" ht="11.85" customHeight="1" x14ac:dyDescent="0.25">
      <c r="A22" s="71" t="s">
        <v>104</v>
      </c>
      <c r="B22" s="434" t="s">
        <v>110</v>
      </c>
      <c r="C22" s="435">
        <v>744</v>
      </c>
      <c r="D22" s="439">
        <v>0.6788064869577819</v>
      </c>
      <c r="E22" s="437"/>
      <c r="F22" s="438"/>
      <c r="G22" s="435">
        <v>744</v>
      </c>
      <c r="H22" s="439">
        <v>0.5285345880992286</v>
      </c>
      <c r="I22" s="437"/>
      <c r="J22" s="438"/>
      <c r="K22" s="435">
        <v>744</v>
      </c>
      <c r="L22" s="439">
        <v>0.72311831983489938</v>
      </c>
      <c r="M22" s="437"/>
      <c r="N22" s="438"/>
      <c r="O22" s="435">
        <v>744</v>
      </c>
      <c r="P22" s="439">
        <v>0.72311831983489938</v>
      </c>
      <c r="Q22" s="437"/>
      <c r="R22" s="438"/>
      <c r="S22" s="435">
        <v>744</v>
      </c>
      <c r="T22" s="439">
        <v>0.72311831983489938</v>
      </c>
      <c r="U22" s="437"/>
      <c r="V22" s="438"/>
    </row>
    <row r="23" spans="1:22" s="408" customFormat="1" ht="11.85" customHeight="1" x14ac:dyDescent="0.25">
      <c r="A23" s="36" t="s">
        <v>54</v>
      </c>
      <c r="B23" s="434" t="s">
        <v>48</v>
      </c>
      <c r="C23" s="435">
        <v>720</v>
      </c>
      <c r="D23" s="439">
        <v>1.5739981246921284</v>
      </c>
      <c r="E23" s="437">
        <v>2330.7881151920637</v>
      </c>
      <c r="F23" s="438">
        <v>915.01868701309786</v>
      </c>
      <c r="G23" s="435">
        <v>720</v>
      </c>
      <c r="H23" s="439">
        <v>1.2255517094886761</v>
      </c>
      <c r="I23" s="437">
        <v>2330.7881151920637</v>
      </c>
      <c r="J23" s="438">
        <v>915.01868701309786</v>
      </c>
      <c r="K23" s="435">
        <v>720</v>
      </c>
      <c r="L23" s="439">
        <v>1.589098104850081</v>
      </c>
      <c r="M23" s="437">
        <v>2330.7881151920637</v>
      </c>
      <c r="N23" s="438">
        <v>915.01868701309786</v>
      </c>
      <c r="O23" s="435">
        <v>720</v>
      </c>
      <c r="P23" s="439">
        <v>1.589098104850081</v>
      </c>
      <c r="Q23" s="437">
        <v>2330.7881151920637</v>
      </c>
      <c r="R23" s="438">
        <v>915.01868701309786</v>
      </c>
      <c r="S23" s="435">
        <v>720</v>
      </c>
      <c r="T23" s="439">
        <v>1.589098104850081</v>
      </c>
      <c r="U23" s="437">
        <v>2330.7881151920637</v>
      </c>
      <c r="V23" s="438">
        <v>915.01868701309786</v>
      </c>
    </row>
    <row r="24" spans="1:22" s="408" customFormat="1" ht="11.85" customHeight="1" x14ac:dyDescent="0.25">
      <c r="A24" s="71" t="s">
        <v>105</v>
      </c>
      <c r="B24" s="434" t="s">
        <v>111</v>
      </c>
      <c r="C24" s="435">
        <v>720</v>
      </c>
      <c r="D24" s="439">
        <v>0.7869990623460642</v>
      </c>
      <c r="E24" s="437">
        <v>252.54521814126952</v>
      </c>
      <c r="F24" s="438"/>
      <c r="G24" s="435">
        <v>720</v>
      </c>
      <c r="H24" s="439">
        <v>0.61277585474433804</v>
      </c>
      <c r="I24" s="437">
        <v>252.54521814126952</v>
      </c>
      <c r="J24" s="438"/>
      <c r="K24" s="435">
        <v>720</v>
      </c>
      <c r="L24" s="439">
        <v>0.79454905242504048</v>
      </c>
      <c r="M24" s="437">
        <v>252.54521814126952</v>
      </c>
      <c r="N24" s="438"/>
      <c r="O24" s="435">
        <v>720</v>
      </c>
      <c r="P24" s="439">
        <v>0.79454905242504048</v>
      </c>
      <c r="Q24" s="437">
        <v>252.54521814126952</v>
      </c>
      <c r="R24" s="438"/>
      <c r="S24" s="435">
        <v>720</v>
      </c>
      <c r="T24" s="439">
        <v>0.79454905242504048</v>
      </c>
      <c r="U24" s="437">
        <v>252.54521814126952</v>
      </c>
      <c r="V24" s="438"/>
    </row>
    <row r="25" spans="1:22" s="408" customFormat="1" ht="11.85" customHeight="1" x14ac:dyDescent="0.25">
      <c r="A25" s="36" t="s">
        <v>55</v>
      </c>
      <c r="B25" s="434" t="s">
        <v>49</v>
      </c>
      <c r="C25" s="435">
        <v>744</v>
      </c>
      <c r="D25" s="439">
        <v>2.3247786188439856</v>
      </c>
      <c r="E25" s="437">
        <v>3967.7932905663988</v>
      </c>
      <c r="F25" s="438">
        <v>1469.1558866669909</v>
      </c>
      <c r="G25" s="435">
        <v>744</v>
      </c>
      <c r="H25" s="439">
        <v>1.8101269409480751</v>
      </c>
      <c r="I25" s="437">
        <v>3967.7932905663988</v>
      </c>
      <c r="J25" s="438">
        <v>1469.1558866669909</v>
      </c>
      <c r="K25" s="435">
        <v>744</v>
      </c>
      <c r="L25" s="439">
        <v>2.0615087575532933</v>
      </c>
      <c r="M25" s="437">
        <v>3967.7932905663988</v>
      </c>
      <c r="N25" s="438">
        <v>1469.1558866669909</v>
      </c>
      <c r="O25" s="435">
        <v>744</v>
      </c>
      <c r="P25" s="439">
        <v>2.0615087575532933</v>
      </c>
      <c r="Q25" s="437">
        <v>3967.7932905663988</v>
      </c>
      <c r="R25" s="438">
        <v>1469.1558866669909</v>
      </c>
      <c r="S25" s="435">
        <v>744</v>
      </c>
      <c r="T25" s="439">
        <v>2.0615087575532933</v>
      </c>
      <c r="U25" s="437">
        <v>3967.7932905663988</v>
      </c>
      <c r="V25" s="438">
        <v>1469.1558866669909</v>
      </c>
    </row>
    <row r="26" spans="1:22" s="408" customFormat="1" ht="11.85" customHeight="1" x14ac:dyDescent="0.25">
      <c r="A26" s="71" t="s">
        <v>106</v>
      </c>
      <c r="B26" s="434" t="s">
        <v>112</v>
      </c>
      <c r="C26" s="435">
        <v>744</v>
      </c>
      <c r="D26" s="439">
        <v>1.1623893094219928</v>
      </c>
      <c r="E26" s="437">
        <v>1615.5400427669347</v>
      </c>
      <c r="F26" s="438"/>
      <c r="G26" s="435">
        <v>744</v>
      </c>
      <c r="H26" s="439">
        <v>0.90506347047403757</v>
      </c>
      <c r="I26" s="437">
        <v>1615.5400427669347</v>
      </c>
      <c r="J26" s="438"/>
      <c r="K26" s="435">
        <v>744</v>
      </c>
      <c r="L26" s="439">
        <v>1.0307543787766467</v>
      </c>
      <c r="M26" s="437">
        <v>1615.5400427669347</v>
      </c>
      <c r="N26" s="438"/>
      <c r="O26" s="435">
        <v>744</v>
      </c>
      <c r="P26" s="439">
        <v>1.0307543787766467</v>
      </c>
      <c r="Q26" s="437">
        <v>1615.5400427669347</v>
      </c>
      <c r="R26" s="438"/>
      <c r="S26" s="435">
        <v>744</v>
      </c>
      <c r="T26" s="439">
        <v>1.0307543787766467</v>
      </c>
      <c r="U26" s="437">
        <v>1615.5400427669347</v>
      </c>
      <c r="V26" s="438"/>
    </row>
    <row r="27" spans="1:22" s="408" customFormat="1" ht="11.85" customHeight="1" x14ac:dyDescent="0.25">
      <c r="A27" s="36" t="s">
        <v>56</v>
      </c>
      <c r="B27" s="434" t="s">
        <v>50</v>
      </c>
      <c r="C27" s="435">
        <v>744</v>
      </c>
      <c r="D27" s="439">
        <v>2.8978227186961858</v>
      </c>
      <c r="E27" s="437">
        <v>4406.5867586263739</v>
      </c>
      <c r="F27" s="438">
        <v>1625.6383271531261</v>
      </c>
      <c r="G27" s="435">
        <v>744</v>
      </c>
      <c r="H27" s="439">
        <v>2.2563124637698579</v>
      </c>
      <c r="I27" s="437">
        <v>4406.5867586263739</v>
      </c>
      <c r="J27" s="438">
        <v>1625.6383271531261</v>
      </c>
      <c r="K27" s="435">
        <v>744</v>
      </c>
      <c r="L27" s="439">
        <v>2.4055008618198639</v>
      </c>
      <c r="M27" s="437">
        <v>4406.5867586263739</v>
      </c>
      <c r="N27" s="438">
        <v>1625.6383271531261</v>
      </c>
      <c r="O27" s="435">
        <v>744</v>
      </c>
      <c r="P27" s="439">
        <v>2.4055008618198639</v>
      </c>
      <c r="Q27" s="437">
        <v>4406.5867586263739</v>
      </c>
      <c r="R27" s="438">
        <v>1625.6383271531261</v>
      </c>
      <c r="S27" s="435">
        <v>744</v>
      </c>
      <c r="T27" s="439">
        <v>2.4055008618198639</v>
      </c>
      <c r="U27" s="437">
        <v>4406.5867586263739</v>
      </c>
      <c r="V27" s="438">
        <v>1625.6383271531261</v>
      </c>
    </row>
    <row r="28" spans="1:22" s="408" customFormat="1" ht="11.85" customHeight="1" x14ac:dyDescent="0.25">
      <c r="A28" s="71" t="s">
        <v>107</v>
      </c>
      <c r="B28" s="434" t="s">
        <v>113</v>
      </c>
      <c r="C28" s="435">
        <v>744</v>
      </c>
      <c r="D28" s="439">
        <v>1.4489113593480929</v>
      </c>
      <c r="E28" s="437">
        <v>1655.9132413736259</v>
      </c>
      <c r="F28" s="438"/>
      <c r="G28" s="435">
        <v>744</v>
      </c>
      <c r="H28" s="439">
        <v>1.128156231884929</v>
      </c>
      <c r="I28" s="437">
        <v>1655.9132413736259</v>
      </c>
      <c r="J28" s="438"/>
      <c r="K28" s="435">
        <v>744</v>
      </c>
      <c r="L28" s="439">
        <v>1.2027504309099319</v>
      </c>
      <c r="M28" s="437">
        <v>1655.9132413736259</v>
      </c>
      <c r="N28" s="438"/>
      <c r="O28" s="435">
        <v>744</v>
      </c>
      <c r="P28" s="439">
        <v>1.2027504309099319</v>
      </c>
      <c r="Q28" s="437">
        <v>1655.9132413736259</v>
      </c>
      <c r="R28" s="438"/>
      <c r="S28" s="435">
        <v>744</v>
      </c>
      <c r="T28" s="439">
        <v>1.2027504309099319</v>
      </c>
      <c r="U28" s="437">
        <v>1655.9132413736259</v>
      </c>
      <c r="V28" s="438"/>
    </row>
    <row r="29" spans="1:22" s="408" customFormat="1" ht="11.85" customHeight="1" x14ac:dyDescent="0.25">
      <c r="A29" s="36" t="s">
        <v>57</v>
      </c>
      <c r="B29" s="434" t="s">
        <v>51</v>
      </c>
      <c r="C29" s="435">
        <v>672</v>
      </c>
      <c r="D29" s="439">
        <v>1.6228238397002848</v>
      </c>
      <c r="E29" s="437">
        <v>3574.3473635640817</v>
      </c>
      <c r="F29" s="438">
        <v>710.68906476885638</v>
      </c>
      <c r="G29" s="435">
        <v>672</v>
      </c>
      <c r="H29" s="439">
        <v>1.2635685517939723</v>
      </c>
      <c r="I29" s="437">
        <v>3574.3473635640817</v>
      </c>
      <c r="J29" s="438">
        <v>710.68906476885638</v>
      </c>
      <c r="K29" s="435">
        <v>672</v>
      </c>
      <c r="L29" s="439">
        <v>1.6208307275701119</v>
      </c>
      <c r="M29" s="437">
        <v>3574.3473635640817</v>
      </c>
      <c r="N29" s="438">
        <v>710.68906476885638</v>
      </c>
      <c r="O29" s="435">
        <v>672</v>
      </c>
      <c r="P29" s="439">
        <v>1.6208307275701119</v>
      </c>
      <c r="Q29" s="437">
        <v>3574.3473635640817</v>
      </c>
      <c r="R29" s="438">
        <v>710.68906476885638</v>
      </c>
      <c r="S29" s="435">
        <v>672</v>
      </c>
      <c r="T29" s="439">
        <v>1.6208307275701119</v>
      </c>
      <c r="U29" s="437">
        <v>3574.3473635640817</v>
      </c>
      <c r="V29" s="438">
        <v>710.68906476885638</v>
      </c>
    </row>
    <row r="30" spans="1:22" s="408" customFormat="1" ht="11.85" customHeight="1" x14ac:dyDescent="0.25">
      <c r="A30" s="71" t="s">
        <v>108</v>
      </c>
      <c r="B30" s="434" t="s">
        <v>114</v>
      </c>
      <c r="C30" s="435">
        <v>672</v>
      </c>
      <c r="D30" s="439">
        <v>0.81141191985014238</v>
      </c>
      <c r="E30" s="437">
        <v>446.48596976925182</v>
      </c>
      <c r="F30" s="438"/>
      <c r="G30" s="435">
        <v>672</v>
      </c>
      <c r="H30" s="439">
        <v>0.63178427589698616</v>
      </c>
      <c r="I30" s="437">
        <v>446.48596976925182</v>
      </c>
      <c r="J30" s="438"/>
      <c r="K30" s="435">
        <v>672</v>
      </c>
      <c r="L30" s="439">
        <v>0.81041536378505596</v>
      </c>
      <c r="M30" s="437">
        <v>446.48596976925182</v>
      </c>
      <c r="N30" s="438"/>
      <c r="O30" s="435">
        <v>672</v>
      </c>
      <c r="P30" s="439">
        <v>0.81041536378505596</v>
      </c>
      <c r="Q30" s="437">
        <v>446.48596976925182</v>
      </c>
      <c r="R30" s="438"/>
      <c r="S30" s="435">
        <v>672</v>
      </c>
      <c r="T30" s="439">
        <v>0.81041536378505596</v>
      </c>
      <c r="U30" s="437">
        <v>446.48596976925182</v>
      </c>
      <c r="V30" s="438"/>
    </row>
    <row r="31" spans="1:22" s="408" customFormat="1" ht="11.85" customHeight="1" x14ac:dyDescent="0.25">
      <c r="A31" s="36" t="s">
        <v>58</v>
      </c>
      <c r="B31" s="434" t="s">
        <v>52</v>
      </c>
      <c r="C31" s="435">
        <v>744</v>
      </c>
      <c r="D31" s="439">
        <v>1.4000745602560418</v>
      </c>
      <c r="E31" s="437">
        <v>208.33333333333331</v>
      </c>
      <c r="F31" s="438">
        <v>166.66666666666666</v>
      </c>
      <c r="G31" s="435">
        <v>744</v>
      </c>
      <c r="H31" s="439">
        <v>1.090130759252981</v>
      </c>
      <c r="I31" s="437">
        <v>208.33333333333331</v>
      </c>
      <c r="J31" s="438">
        <v>166.66666666666666</v>
      </c>
      <c r="K31" s="435">
        <v>744</v>
      </c>
      <c r="L31" s="439">
        <v>1.4745795918631555</v>
      </c>
      <c r="M31" s="437">
        <v>208.33333333333331</v>
      </c>
      <c r="N31" s="438">
        <v>166.66666666666666</v>
      </c>
      <c r="O31" s="435">
        <v>744</v>
      </c>
      <c r="P31" s="439">
        <v>1.4745795918631555</v>
      </c>
      <c r="Q31" s="437">
        <v>208.33333333333331</v>
      </c>
      <c r="R31" s="438">
        <v>166.66666666666666</v>
      </c>
      <c r="S31" s="435">
        <v>744</v>
      </c>
      <c r="T31" s="439">
        <v>1.4745795918631555</v>
      </c>
      <c r="U31" s="437">
        <v>208.33333333333331</v>
      </c>
      <c r="V31" s="438">
        <v>166.66666666666666</v>
      </c>
    </row>
    <row r="32" spans="1:22" s="408" customFormat="1" ht="11.85" customHeight="1" x14ac:dyDescent="0.25">
      <c r="A32" s="71" t="s">
        <v>109</v>
      </c>
      <c r="B32" s="434" t="s">
        <v>115</v>
      </c>
      <c r="C32" s="435">
        <v>744</v>
      </c>
      <c r="D32" s="439">
        <v>0.70003728012802091</v>
      </c>
      <c r="E32" s="437"/>
      <c r="F32" s="438"/>
      <c r="G32" s="435">
        <v>744</v>
      </c>
      <c r="H32" s="439">
        <v>0.54506537962649049</v>
      </c>
      <c r="I32" s="437"/>
      <c r="J32" s="438"/>
      <c r="K32" s="435">
        <v>744</v>
      </c>
      <c r="L32" s="439">
        <v>0.73728979593157773</v>
      </c>
      <c r="M32" s="437"/>
      <c r="N32" s="438"/>
      <c r="O32" s="435">
        <v>744</v>
      </c>
      <c r="P32" s="439">
        <v>0.73728979593157773</v>
      </c>
      <c r="Q32" s="437"/>
      <c r="R32" s="438"/>
      <c r="S32" s="435">
        <v>744</v>
      </c>
      <c r="T32" s="439">
        <v>0.73728979593157773</v>
      </c>
      <c r="U32" s="437"/>
      <c r="V32" s="438"/>
    </row>
    <row r="33" spans="1:22" s="408" customFormat="1" ht="11.85" customHeight="1" x14ac:dyDescent="0.25">
      <c r="A33" s="36" t="s">
        <v>47</v>
      </c>
      <c r="B33" s="434" t="s">
        <v>289</v>
      </c>
      <c r="C33" s="435">
        <v>720</v>
      </c>
      <c r="D33" s="439">
        <v>1.0994315866315754</v>
      </c>
      <c r="E33" s="437">
        <v>375</v>
      </c>
      <c r="F33" s="438">
        <v>333.33333333333331</v>
      </c>
      <c r="G33" s="435">
        <v>720</v>
      </c>
      <c r="H33" s="439">
        <v>0.85604311677672784</v>
      </c>
      <c r="I33" s="437">
        <v>375</v>
      </c>
      <c r="J33" s="438">
        <v>333.33333333333331</v>
      </c>
      <c r="K33" s="435">
        <v>720</v>
      </c>
      <c r="L33" s="439">
        <v>1.2700233455128964</v>
      </c>
      <c r="M33" s="437">
        <v>375</v>
      </c>
      <c r="N33" s="438">
        <v>333.33333333333331</v>
      </c>
      <c r="O33" s="435">
        <v>720</v>
      </c>
      <c r="P33" s="439">
        <v>1.2700233455128964</v>
      </c>
      <c r="Q33" s="437">
        <v>375</v>
      </c>
      <c r="R33" s="438">
        <v>333.33333333333331</v>
      </c>
      <c r="S33" s="435">
        <v>720</v>
      </c>
      <c r="T33" s="439">
        <v>1.2700233455128964</v>
      </c>
      <c r="U33" s="437">
        <v>375</v>
      </c>
      <c r="V33" s="438">
        <v>333.33333333333331</v>
      </c>
    </row>
    <row r="34" spans="1:22" s="408" customFormat="1" ht="11.85" customHeight="1" x14ac:dyDescent="0.25">
      <c r="A34" s="71" t="s">
        <v>110</v>
      </c>
      <c r="B34" s="434" t="s">
        <v>299</v>
      </c>
      <c r="C34" s="435">
        <v>720</v>
      </c>
      <c r="D34" s="439">
        <v>0.54971579331578768</v>
      </c>
      <c r="E34" s="437"/>
      <c r="F34" s="438"/>
      <c r="G34" s="435">
        <v>720</v>
      </c>
      <c r="H34" s="439">
        <v>0.42802155838836392</v>
      </c>
      <c r="I34" s="437"/>
      <c r="J34" s="438"/>
      <c r="K34" s="435">
        <v>720</v>
      </c>
      <c r="L34" s="439">
        <v>0.63501167275644821</v>
      </c>
      <c r="M34" s="437"/>
      <c r="N34" s="438"/>
      <c r="O34" s="435">
        <v>720</v>
      </c>
      <c r="P34" s="439">
        <v>0.63501167275644821</v>
      </c>
      <c r="Q34" s="437"/>
      <c r="R34" s="438"/>
      <c r="S34" s="435">
        <v>720</v>
      </c>
      <c r="T34" s="439">
        <v>0.63501167275644821</v>
      </c>
      <c r="U34" s="437"/>
      <c r="V34" s="438"/>
    </row>
    <row r="35" spans="1:22" s="408" customFormat="1" ht="11.85" customHeight="1" x14ac:dyDescent="0.25">
      <c r="A35" s="36" t="s">
        <v>48</v>
      </c>
      <c r="B35" s="434" t="s">
        <v>290</v>
      </c>
      <c r="C35" s="435">
        <v>744</v>
      </c>
      <c r="D35" s="439">
        <v>1.2676877316123207</v>
      </c>
      <c r="E35" s="437">
        <v>375</v>
      </c>
      <c r="F35" s="438">
        <v>333.33333333333331</v>
      </c>
      <c r="G35" s="435">
        <v>744</v>
      </c>
      <c r="H35" s="439">
        <v>0.98705128182994917</v>
      </c>
      <c r="I35" s="437">
        <v>375</v>
      </c>
      <c r="J35" s="438">
        <v>333.33333333333331</v>
      </c>
      <c r="K35" s="435">
        <v>744</v>
      </c>
      <c r="L35" s="439">
        <v>1.3856564109525178</v>
      </c>
      <c r="M35" s="437">
        <v>375</v>
      </c>
      <c r="N35" s="438">
        <v>333.33333333333331</v>
      </c>
      <c r="O35" s="435">
        <v>744</v>
      </c>
      <c r="P35" s="439">
        <v>1.3856564109525178</v>
      </c>
      <c r="Q35" s="437">
        <v>375</v>
      </c>
      <c r="R35" s="438">
        <v>333.33333333333331</v>
      </c>
      <c r="S35" s="435">
        <v>744</v>
      </c>
      <c r="T35" s="439">
        <v>1.3856564109525178</v>
      </c>
      <c r="U35" s="437">
        <v>375</v>
      </c>
      <c r="V35" s="438">
        <v>333.33333333333331</v>
      </c>
    </row>
    <row r="36" spans="1:22" s="408" customFormat="1" ht="11.85" customHeight="1" x14ac:dyDescent="0.25">
      <c r="A36" s="71" t="s">
        <v>111</v>
      </c>
      <c r="B36" s="434" t="s">
        <v>300</v>
      </c>
      <c r="C36" s="435">
        <v>744</v>
      </c>
      <c r="D36" s="439">
        <v>0.63384386580616037</v>
      </c>
      <c r="E36" s="437"/>
      <c r="F36" s="438"/>
      <c r="G36" s="435">
        <v>744</v>
      </c>
      <c r="H36" s="439">
        <v>0.49352564091497458</v>
      </c>
      <c r="I36" s="437"/>
      <c r="J36" s="438"/>
      <c r="K36" s="435">
        <v>744</v>
      </c>
      <c r="L36" s="439">
        <v>0.6928282054762589</v>
      </c>
      <c r="M36" s="437"/>
      <c r="N36" s="438"/>
      <c r="O36" s="435">
        <v>744</v>
      </c>
      <c r="P36" s="439">
        <v>0.6928282054762589</v>
      </c>
      <c r="Q36" s="437"/>
      <c r="R36" s="438"/>
      <c r="S36" s="435">
        <v>744</v>
      </c>
      <c r="T36" s="439">
        <v>0.6928282054762589</v>
      </c>
      <c r="U36" s="437"/>
      <c r="V36" s="438"/>
    </row>
    <row r="37" spans="1:22" s="408" customFormat="1" ht="11.85" customHeight="1" x14ac:dyDescent="0.25">
      <c r="A37" s="36" t="s">
        <v>49</v>
      </c>
      <c r="B37" s="434" t="s">
        <v>291</v>
      </c>
      <c r="C37" s="435">
        <v>720</v>
      </c>
      <c r="D37" s="439">
        <v>0.80385282942761183</v>
      </c>
      <c r="E37" s="437">
        <v>375</v>
      </c>
      <c r="F37" s="438">
        <v>333.33333333333331</v>
      </c>
      <c r="G37" s="435">
        <v>720</v>
      </c>
      <c r="H37" s="439">
        <v>0.62589859150881466</v>
      </c>
      <c r="I37" s="437">
        <v>375</v>
      </c>
      <c r="J37" s="438">
        <v>333.33333333333331</v>
      </c>
      <c r="K37" s="435">
        <v>720</v>
      </c>
      <c r="L37" s="439">
        <v>1.057597793423894</v>
      </c>
      <c r="M37" s="437">
        <v>375</v>
      </c>
      <c r="N37" s="438">
        <v>333.33333333333331</v>
      </c>
      <c r="O37" s="435">
        <v>720</v>
      </c>
      <c r="P37" s="439">
        <v>1.057597793423894</v>
      </c>
      <c r="Q37" s="437">
        <v>375</v>
      </c>
      <c r="R37" s="438">
        <v>333.33333333333331</v>
      </c>
      <c r="S37" s="435">
        <v>720</v>
      </c>
      <c r="T37" s="439">
        <v>1.057597793423894</v>
      </c>
      <c r="U37" s="437">
        <v>375</v>
      </c>
      <c r="V37" s="438">
        <v>333.33333333333331</v>
      </c>
    </row>
    <row r="38" spans="1:22" s="408" customFormat="1" ht="11.85" customHeight="1" x14ac:dyDescent="0.25">
      <c r="A38" s="71" t="s">
        <v>112</v>
      </c>
      <c r="B38" s="434" t="s">
        <v>301</v>
      </c>
      <c r="C38" s="435">
        <v>720</v>
      </c>
      <c r="D38" s="439">
        <v>0.40192641471380591</v>
      </c>
      <c r="E38" s="437"/>
      <c r="F38" s="438"/>
      <c r="G38" s="435">
        <v>720</v>
      </c>
      <c r="H38" s="439">
        <v>0.31294929575440733</v>
      </c>
      <c r="I38" s="437"/>
      <c r="J38" s="438"/>
      <c r="K38" s="435">
        <v>720</v>
      </c>
      <c r="L38" s="439">
        <v>0.52879889671194702</v>
      </c>
      <c r="M38" s="437"/>
      <c r="N38" s="438"/>
      <c r="O38" s="435">
        <v>720</v>
      </c>
      <c r="P38" s="439">
        <v>0.52879889671194702</v>
      </c>
      <c r="Q38" s="437"/>
      <c r="R38" s="438"/>
      <c r="S38" s="435">
        <v>720</v>
      </c>
      <c r="T38" s="439">
        <v>0.52879889671194702</v>
      </c>
      <c r="U38" s="437"/>
      <c r="V38" s="438"/>
    </row>
    <row r="39" spans="1:22" s="408" customFormat="1" ht="11.85" customHeight="1" x14ac:dyDescent="0.25">
      <c r="A39" s="36" t="s">
        <v>50</v>
      </c>
      <c r="B39" s="434" t="s">
        <v>292</v>
      </c>
      <c r="C39" s="435">
        <v>744</v>
      </c>
      <c r="D39" s="439">
        <v>1.3134793042560544</v>
      </c>
      <c r="E39" s="437">
        <v>145.83333333333334</v>
      </c>
      <c r="F39" s="438">
        <v>104.16666666666667</v>
      </c>
      <c r="G39" s="435">
        <v>744</v>
      </c>
      <c r="H39" s="439">
        <v>2.3920339159115356</v>
      </c>
      <c r="I39" s="437">
        <v>145.83333333333334</v>
      </c>
      <c r="J39" s="438">
        <v>104.16666666666667</v>
      </c>
      <c r="K39" s="435">
        <v>744</v>
      </c>
      <c r="L39" s="439">
        <v>1.2922988118379253</v>
      </c>
      <c r="M39" s="437">
        <v>145.83333333333334</v>
      </c>
      <c r="N39" s="438">
        <v>104.16666666666667</v>
      </c>
      <c r="O39" s="435">
        <v>744</v>
      </c>
      <c r="P39" s="439">
        <v>1.2922988118379253</v>
      </c>
      <c r="Q39" s="437">
        <v>145.83333333333334</v>
      </c>
      <c r="R39" s="438">
        <v>104.16666666666667</v>
      </c>
      <c r="S39" s="435">
        <v>744</v>
      </c>
      <c r="T39" s="439">
        <v>1.2922988118379253</v>
      </c>
      <c r="U39" s="437">
        <v>145.83333333333334</v>
      </c>
      <c r="V39" s="438">
        <v>104.16666666666667</v>
      </c>
    </row>
    <row r="40" spans="1:22" s="408" customFormat="1" ht="11.85" customHeight="1" x14ac:dyDescent="0.25">
      <c r="A40" s="71" t="s">
        <v>113</v>
      </c>
      <c r="B40" s="434" t="s">
        <v>302</v>
      </c>
      <c r="C40" s="435">
        <v>744</v>
      </c>
      <c r="D40" s="439">
        <v>0.65673965212802721</v>
      </c>
      <c r="E40" s="437"/>
      <c r="F40" s="438"/>
      <c r="G40" s="435">
        <v>744</v>
      </c>
      <c r="H40" s="439">
        <v>1.1960169579557678</v>
      </c>
      <c r="I40" s="437"/>
      <c r="J40" s="438"/>
      <c r="K40" s="435">
        <v>744</v>
      </c>
      <c r="L40" s="439">
        <v>0.64614940591896264</v>
      </c>
      <c r="M40" s="437"/>
      <c r="N40" s="438"/>
      <c r="O40" s="435">
        <v>744</v>
      </c>
      <c r="P40" s="439">
        <v>0.64614940591896264</v>
      </c>
      <c r="Q40" s="437"/>
      <c r="R40" s="438"/>
      <c r="S40" s="435">
        <v>744</v>
      </c>
      <c r="T40" s="439">
        <v>0.64614940591896264</v>
      </c>
      <c r="U40" s="437"/>
      <c r="V40" s="438"/>
    </row>
    <row r="41" spans="1:22" s="408" customFormat="1" ht="11.85" customHeight="1" x14ac:dyDescent="0.25">
      <c r="A41" s="36" t="s">
        <v>51</v>
      </c>
      <c r="B41" s="434" t="s">
        <v>293</v>
      </c>
      <c r="C41" s="435">
        <v>744</v>
      </c>
      <c r="D41" s="439">
        <v>1.2357670034409327</v>
      </c>
      <c r="E41" s="437">
        <v>41.666666666666664</v>
      </c>
      <c r="F41" s="438"/>
      <c r="G41" s="435">
        <v>744</v>
      </c>
      <c r="H41" s="439">
        <v>2.2990064307411058</v>
      </c>
      <c r="I41" s="437">
        <v>41.666666666666664</v>
      </c>
      <c r="J41" s="438"/>
      <c r="K41" s="435">
        <v>744</v>
      </c>
      <c r="L41" s="439">
        <v>1.2420406161851245</v>
      </c>
      <c r="M41" s="437">
        <v>41.666666666666664</v>
      </c>
      <c r="N41" s="438"/>
      <c r="O41" s="435">
        <v>744</v>
      </c>
      <c r="P41" s="439">
        <v>1.2420406161851245</v>
      </c>
      <c r="Q41" s="437">
        <v>41.666666666666664</v>
      </c>
      <c r="R41" s="438"/>
      <c r="S41" s="435">
        <v>744</v>
      </c>
      <c r="T41" s="439">
        <v>1.2420406161851245</v>
      </c>
      <c r="U41" s="437">
        <v>41.666666666666664</v>
      </c>
      <c r="V41" s="438"/>
    </row>
    <row r="42" spans="1:22" s="408" customFormat="1" ht="11.85" customHeight="1" x14ac:dyDescent="0.25">
      <c r="A42" s="71" t="s">
        <v>114</v>
      </c>
      <c r="B42" s="434" t="s">
        <v>303</v>
      </c>
      <c r="C42" s="435">
        <v>744</v>
      </c>
      <c r="D42" s="439">
        <v>0.61788350172046635</v>
      </c>
      <c r="E42" s="437"/>
      <c r="F42" s="438"/>
      <c r="G42" s="435">
        <v>744</v>
      </c>
      <c r="H42" s="439">
        <v>1.1495032153705529</v>
      </c>
      <c r="I42" s="437"/>
      <c r="J42" s="438"/>
      <c r="K42" s="435">
        <v>744</v>
      </c>
      <c r="L42" s="439">
        <v>0.62102030809256226</v>
      </c>
      <c r="M42" s="437"/>
      <c r="N42" s="438"/>
      <c r="O42" s="435">
        <v>744</v>
      </c>
      <c r="P42" s="439">
        <v>0.62102030809256226</v>
      </c>
      <c r="Q42" s="437"/>
      <c r="R42" s="438"/>
      <c r="S42" s="435">
        <v>744</v>
      </c>
      <c r="T42" s="439">
        <v>0.62102030809256226</v>
      </c>
      <c r="U42" s="437"/>
      <c r="V42" s="438"/>
    </row>
    <row r="43" spans="1:22" s="408" customFormat="1" ht="11.85" customHeight="1" x14ac:dyDescent="0.25">
      <c r="A43" s="36" t="s">
        <v>52</v>
      </c>
      <c r="B43" s="434" t="s">
        <v>294</v>
      </c>
      <c r="C43" s="435">
        <v>720</v>
      </c>
      <c r="D43" s="439">
        <v>1.102670708527316</v>
      </c>
      <c r="E43" s="437">
        <v>41.666666666666664</v>
      </c>
      <c r="F43" s="438"/>
      <c r="G43" s="435">
        <v>720</v>
      </c>
      <c r="H43" s="439">
        <v>2.1372070617798453</v>
      </c>
      <c r="I43" s="437">
        <v>41.666666666666664</v>
      </c>
      <c r="J43" s="438"/>
      <c r="K43" s="435">
        <v>720</v>
      </c>
      <c r="L43" s="439">
        <v>1.1546283387613396</v>
      </c>
      <c r="M43" s="437">
        <v>41.666666666666664</v>
      </c>
      <c r="N43" s="438"/>
      <c r="O43" s="435">
        <v>720</v>
      </c>
      <c r="P43" s="439">
        <v>1.1546283387613396</v>
      </c>
      <c r="Q43" s="437">
        <v>41.666666666666664</v>
      </c>
      <c r="R43" s="438"/>
      <c r="S43" s="435">
        <v>720</v>
      </c>
      <c r="T43" s="439">
        <v>1.1546283387613396</v>
      </c>
      <c r="U43" s="437">
        <v>41.666666666666664</v>
      </c>
      <c r="V43" s="438"/>
    </row>
    <row r="44" spans="1:22" s="408" customFormat="1" ht="11.85" customHeight="1" x14ac:dyDescent="0.25">
      <c r="A44" s="71" t="s">
        <v>115</v>
      </c>
      <c r="B44" s="434" t="s">
        <v>304</v>
      </c>
      <c r="C44" s="435">
        <v>720</v>
      </c>
      <c r="D44" s="439">
        <v>0.55133535426365798</v>
      </c>
      <c r="E44" s="437"/>
      <c r="F44" s="438"/>
      <c r="G44" s="435">
        <v>720</v>
      </c>
      <c r="H44" s="439">
        <v>1.0686035308899227</v>
      </c>
      <c r="I44" s="437"/>
      <c r="J44" s="438"/>
      <c r="K44" s="435">
        <v>720</v>
      </c>
      <c r="L44" s="439">
        <v>0.57731416938066982</v>
      </c>
      <c r="M44" s="437"/>
      <c r="N44" s="438"/>
      <c r="O44" s="435">
        <v>720</v>
      </c>
      <c r="P44" s="439">
        <v>0.57731416938066982</v>
      </c>
      <c r="Q44" s="437"/>
      <c r="R44" s="438"/>
      <c r="S44" s="435">
        <v>720</v>
      </c>
      <c r="T44" s="439">
        <v>0.57731416938066982</v>
      </c>
      <c r="U44" s="437"/>
      <c r="V44" s="438"/>
    </row>
    <row r="45" spans="1:22" s="408" customFormat="1" ht="12" customHeight="1" thickBot="1" x14ac:dyDescent="0.3">
      <c r="B45" s="440" t="s">
        <v>0</v>
      </c>
      <c r="C45" s="441"/>
      <c r="D45" s="442"/>
      <c r="E45" s="443"/>
      <c r="F45" s="444"/>
      <c r="G45" s="441"/>
      <c r="H45" s="442"/>
      <c r="I45" s="443"/>
      <c r="J45" s="444"/>
      <c r="K45" s="441"/>
      <c r="L45" s="442"/>
      <c r="M45" s="443"/>
      <c r="N45" s="444"/>
      <c r="O45" s="441"/>
      <c r="P45" s="442"/>
      <c r="Q45" s="443"/>
      <c r="R45" s="444"/>
      <c r="S45" s="441"/>
      <c r="T45" s="442"/>
      <c r="U45" s="443"/>
      <c r="V45" s="444"/>
    </row>
    <row r="46" spans="1:22" s="408" customFormat="1" ht="12" customHeight="1" thickTop="1" thickBot="1" x14ac:dyDescent="0.4">
      <c r="B46" s="407"/>
      <c r="C46" s="461" t="s">
        <v>270</v>
      </c>
      <c r="D46" s="462"/>
      <c r="E46" s="462"/>
      <c r="F46" s="463"/>
      <c r="G46" s="469" t="s">
        <v>271</v>
      </c>
      <c r="H46" s="470"/>
      <c r="I46" s="470"/>
      <c r="J46" s="471"/>
      <c r="K46" s="469" t="s">
        <v>272</v>
      </c>
      <c r="L46" s="470"/>
      <c r="M46" s="470"/>
      <c r="N46" s="471"/>
      <c r="O46" s="469" t="s">
        <v>273</v>
      </c>
      <c r="P46" s="470"/>
      <c r="Q46" s="470"/>
      <c r="R46" s="471"/>
      <c r="S46" s="461" t="s">
        <v>274</v>
      </c>
      <c r="T46" s="462"/>
      <c r="U46" s="462"/>
      <c r="V46" s="463"/>
    </row>
    <row r="47" spans="1:22" s="408" customFormat="1" ht="27.75" thickTop="1" x14ac:dyDescent="0.25">
      <c r="B47" s="445" t="s">
        <v>340</v>
      </c>
      <c r="C47" s="446" t="s">
        <v>285</v>
      </c>
      <c r="D47" s="447"/>
      <c r="E47" s="448" t="s">
        <v>33</v>
      </c>
      <c r="F47" s="449" t="s">
        <v>34</v>
      </c>
      <c r="G47" s="446" t="s">
        <v>283</v>
      </c>
      <c r="H47" s="447"/>
      <c r="I47" s="448" t="s">
        <v>33</v>
      </c>
      <c r="J47" s="449" t="s">
        <v>34</v>
      </c>
      <c r="K47" s="446" t="s">
        <v>283</v>
      </c>
      <c r="L47" s="447"/>
      <c r="M47" s="448" t="s">
        <v>33</v>
      </c>
      <c r="N47" s="449" t="s">
        <v>34</v>
      </c>
      <c r="O47" s="446" t="s">
        <v>283</v>
      </c>
      <c r="P47" s="447"/>
      <c r="Q47" s="448" t="s">
        <v>33</v>
      </c>
      <c r="R47" s="449" t="s">
        <v>34</v>
      </c>
      <c r="S47" s="446" t="s">
        <v>283</v>
      </c>
      <c r="T47" s="447"/>
      <c r="U47" s="448" t="s">
        <v>33</v>
      </c>
      <c r="V47" s="449" t="s">
        <v>34</v>
      </c>
    </row>
    <row r="48" spans="1:22" s="408" customFormat="1" ht="11.85" customHeight="1" x14ac:dyDescent="0.25">
      <c r="B48" s="450" t="s">
        <v>286</v>
      </c>
      <c r="C48" s="451">
        <v>1</v>
      </c>
      <c r="D48" s="452"/>
      <c r="E48" s="453">
        <f>+E4/(SUMPRODUCT(E9:E11,D9:D11,C$9:C$11)+SUMPRODUCT(E13:E44,D$13:D$44,C$13:C$44))*1000</f>
        <v>2.3148586137822957</v>
      </c>
      <c r="F48" s="454">
        <f>+F4/(SUMPRODUCT(F9:F11,D9:D11,C$9:C$11)+SUMPRODUCT(F13:F44,D$13:D$44,C$13:C$44))*1000</f>
        <v>1.6490565146977234</v>
      </c>
      <c r="G48" s="451">
        <v>1</v>
      </c>
      <c r="H48" s="452"/>
      <c r="I48" s="453">
        <f>+I4/(SUMPRODUCT(I9:I11,H9:H11,G$9:G$11)+SUMPRODUCT(I13:I44,H$13:H$44,G$13:G$44))*1000</f>
        <v>2.5866684558135722</v>
      </c>
      <c r="J48" s="454">
        <f>+J4/(SUMPRODUCT(J9:J11,H9:H11,G$9:G$11)+SUMPRODUCT(J13:J44,H$13:H$44,G$13:G$44))*1000</f>
        <v>1.8306003888651479</v>
      </c>
      <c r="K48" s="451">
        <v>1</v>
      </c>
      <c r="L48" s="452"/>
      <c r="M48" s="453">
        <f>+M4/(SUMPRODUCT(M9:M11,L9:L11,K$9:K$11)+SUMPRODUCT(M13:M44,L$13:L$44,K$13:K$44))*1000</f>
        <v>2.4614526051884504</v>
      </c>
      <c r="N48" s="454">
        <f>+N4/(SUMPRODUCT(N9:N11,L9:L11,K$9:K$11)+SUMPRODUCT(N13:N44,L$13:L$44,K$13:K$44))*1000</f>
        <v>2.4260030122866465</v>
      </c>
      <c r="O48" s="451">
        <v>1</v>
      </c>
      <c r="P48" s="452"/>
      <c r="Q48" s="453">
        <f>+Q4/(SUMPRODUCT(Q9:Q11,P9:P11,O$9:O$11)+SUMPRODUCT(Q13:Q44,P$13:P$44,O$13:O$44))*1000</f>
        <v>2.953869436660109</v>
      </c>
      <c r="R48" s="454">
        <f>+R4/(SUMPRODUCT(R9:R11,P9:P11,O$9:O$11)+SUMPRODUCT(R13:R44,P$13:P$44,O$13:O$44))*1000</f>
        <v>2.9113281060677756</v>
      </c>
      <c r="S48" s="451">
        <v>1</v>
      </c>
      <c r="T48" s="452"/>
      <c r="U48" s="453">
        <f>+U4/(SUMPRODUCT(U9:U11,T9:T11,S$9:S$11)+SUMPRODUCT(U13:U44,T$13:T$44,S$13:S$44))*1000</f>
        <v>2.7498466766440877</v>
      </c>
      <c r="V48" s="454">
        <f>+V4/(SUMPRODUCT(V9:V11,T9:T11,S$9:S$11)+SUMPRODUCT(V13:V44,T$13:T$44,S$13:S$44))*1000</f>
        <v>2.7071885898224686</v>
      </c>
    </row>
    <row r="49" spans="1:22" s="408" customFormat="1" ht="11.85" customHeight="1" x14ac:dyDescent="0.25">
      <c r="B49" s="450" t="s">
        <v>287</v>
      </c>
      <c r="C49" s="451">
        <v>0.5</v>
      </c>
      <c r="D49" s="452"/>
      <c r="E49" s="453">
        <f>E$48*C49</f>
        <v>1.1574293068911479</v>
      </c>
      <c r="F49" s="455">
        <f>F$48*C49</f>
        <v>0.8245282573488617</v>
      </c>
      <c r="G49" s="451">
        <v>0.5</v>
      </c>
      <c r="H49" s="452"/>
      <c r="I49" s="453">
        <f>I$48*G49</f>
        <v>1.2933342279067861</v>
      </c>
      <c r="J49" s="455">
        <f>J$48*G49</f>
        <v>0.91530019443257393</v>
      </c>
      <c r="K49" s="451">
        <v>0.5</v>
      </c>
      <c r="L49" s="452"/>
      <c r="M49" s="453">
        <f>M$48*K49</f>
        <v>1.2307263025942252</v>
      </c>
      <c r="N49" s="455">
        <f>N$48*K49</f>
        <v>1.2130015061433232</v>
      </c>
      <c r="O49" s="451">
        <v>0.5</v>
      </c>
      <c r="P49" s="452"/>
      <c r="Q49" s="453">
        <f>Q$48*O49</f>
        <v>1.4769347183300545</v>
      </c>
      <c r="R49" s="455">
        <f>R$48*O49</f>
        <v>1.4556640530338878</v>
      </c>
      <c r="S49" s="451">
        <v>0.5</v>
      </c>
      <c r="T49" s="452"/>
      <c r="U49" s="453">
        <f>U$48*S49</f>
        <v>1.3749233383220438</v>
      </c>
      <c r="V49" s="455">
        <f>V$48*S49</f>
        <v>1.3535942949112343</v>
      </c>
    </row>
    <row r="50" spans="1:22" s="408" customFormat="1" ht="11.85" customHeight="1" x14ac:dyDescent="0.25">
      <c r="B50" s="407"/>
      <c r="C50" s="456"/>
      <c r="D50" s="456"/>
      <c r="E50" s="457"/>
    </row>
    <row r="51" spans="1:22" s="408" customFormat="1" ht="11.85" customHeight="1" x14ac:dyDescent="0.25">
      <c r="B51" s="458"/>
      <c r="C51" s="456" t="s">
        <v>288</v>
      </c>
      <c r="D51" s="456"/>
      <c r="E51" s="457"/>
    </row>
    <row r="52" spans="1:22" s="408" customFormat="1" ht="11.85" customHeight="1" x14ac:dyDescent="0.25">
      <c r="B52" s="407"/>
      <c r="C52" s="456"/>
      <c r="D52" s="456"/>
      <c r="E52" s="457"/>
    </row>
    <row r="53" spans="1:22" s="408" customFormat="1" ht="11.85" customHeight="1" x14ac:dyDescent="0.25">
      <c r="A53" s="407"/>
      <c r="B53" s="407"/>
      <c r="C53" s="456"/>
      <c r="D53" s="456"/>
      <c r="E53" s="457"/>
    </row>
  </sheetData>
  <sheetProtection selectLockedCells="1"/>
  <mergeCells count="20">
    <mergeCell ref="C2:F2"/>
    <mergeCell ref="G2:J2"/>
    <mergeCell ref="K2:N2"/>
    <mergeCell ref="O2:R2"/>
    <mergeCell ref="S2:V2"/>
    <mergeCell ref="C3:F3"/>
    <mergeCell ref="G3:J3"/>
    <mergeCell ref="K3:N3"/>
    <mergeCell ref="O3:R3"/>
    <mergeCell ref="S3:V3"/>
    <mergeCell ref="E8:F8"/>
    <mergeCell ref="I8:J8"/>
    <mergeCell ref="M8:N8"/>
    <mergeCell ref="Q8:R8"/>
    <mergeCell ref="U8:V8"/>
    <mergeCell ref="C46:F46"/>
    <mergeCell ref="G46:J46"/>
    <mergeCell ref="K46:N46"/>
    <mergeCell ref="O46:R46"/>
    <mergeCell ref="S46:V46"/>
  </mergeCells>
  <pageMargins left="0.7" right="0.7" top="0.75" bottom="0.75" header="0.3" footer="0.3"/>
  <pageSetup paperSize="9" scale="79" orientation="landscape" r:id="rId1"/>
  <colBreaks count="1" manualBreakCount="1">
    <brk id="10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F40"/>
  <sheetViews>
    <sheetView workbookViewId="0">
      <selection activeCell="H25" sqref="H25"/>
    </sheetView>
  </sheetViews>
  <sheetFormatPr defaultRowHeight="15" x14ac:dyDescent="0.25"/>
  <cols>
    <col min="1" max="1" width="40.42578125" customWidth="1"/>
    <col min="2" max="6" width="9.42578125" bestFit="1" customWidth="1"/>
  </cols>
  <sheetData>
    <row r="2" spans="1:6" x14ac:dyDescent="0.25">
      <c r="A2" s="401" t="s">
        <v>262</v>
      </c>
      <c r="B2" s="401" t="s">
        <v>284</v>
      </c>
      <c r="C2" s="401" t="s">
        <v>73</v>
      </c>
      <c r="D2" s="406" t="s">
        <v>267</v>
      </c>
    </row>
    <row r="3" spans="1:6" x14ac:dyDescent="0.25">
      <c r="A3" s="401" t="s">
        <v>269</v>
      </c>
      <c r="B3" s="402">
        <v>1.68</v>
      </c>
      <c r="C3" s="402">
        <f>B12</f>
        <v>2.3148586137822957</v>
      </c>
      <c r="D3" s="402">
        <f>C3-B3</f>
        <v>0.6348586137822958</v>
      </c>
    </row>
    <row r="4" spans="1:6" x14ac:dyDescent="0.25">
      <c r="A4" s="401" t="s">
        <v>268</v>
      </c>
      <c r="B4" s="402">
        <v>1.63</v>
      </c>
      <c r="C4" s="402">
        <f>B13</f>
        <v>1.649056514697723</v>
      </c>
      <c r="D4" s="402">
        <f>C4-B4</f>
        <v>1.905651469772307E-2</v>
      </c>
    </row>
    <row r="5" spans="1:6" x14ac:dyDescent="0.25">
      <c r="A5" s="403"/>
      <c r="B5" s="404"/>
      <c r="C5" s="404"/>
    </row>
    <row r="6" spans="1:6" x14ac:dyDescent="0.25">
      <c r="A6" s="405" t="s">
        <v>263</v>
      </c>
      <c r="B6" s="404"/>
      <c r="C6" s="404"/>
    </row>
    <row r="7" spans="1:6" x14ac:dyDescent="0.25">
      <c r="A7" s="403"/>
      <c r="B7" t="s">
        <v>264</v>
      </c>
      <c r="C7" s="404"/>
    </row>
    <row r="8" spans="1:6" x14ac:dyDescent="0.25">
      <c r="A8" s="403"/>
      <c r="B8" t="s">
        <v>265</v>
      </c>
      <c r="C8" s="404"/>
    </row>
    <row r="9" spans="1:6" x14ac:dyDescent="0.25">
      <c r="A9" s="403"/>
      <c r="B9" s="404" t="s">
        <v>266</v>
      </c>
      <c r="C9" s="404"/>
    </row>
    <row r="11" spans="1:6" x14ac:dyDescent="0.25">
      <c r="A11" s="401" t="s">
        <v>261</v>
      </c>
      <c r="B11" s="401" t="s">
        <v>73</v>
      </c>
      <c r="C11" s="401" t="s">
        <v>236</v>
      </c>
      <c r="D11" s="401" t="s">
        <v>237</v>
      </c>
      <c r="E11" s="401" t="s">
        <v>238</v>
      </c>
      <c r="F11" s="401" t="s">
        <v>239</v>
      </c>
    </row>
    <row r="12" spans="1:6" x14ac:dyDescent="0.25">
      <c r="A12" s="401" t="s">
        <v>253</v>
      </c>
      <c r="B12" s="402">
        <f>' Tarife PS 19-20'!K7</f>
        <v>2.3148586137822957</v>
      </c>
      <c r="C12" s="402">
        <f>' Tarife PS 20-21'!K7</f>
        <v>2.5866684558135722</v>
      </c>
      <c r="D12" s="402">
        <f>' Tarife PS 21-22'!K7</f>
        <v>2.4614526051884491</v>
      </c>
      <c r="E12" s="402">
        <f>' Tarife PS 22-23 '!K7</f>
        <v>2.9538694366601073</v>
      </c>
      <c r="F12" s="402">
        <f>' Tarife PS 23-24'!K7</f>
        <v>2.7498466766440868</v>
      </c>
    </row>
    <row r="13" spans="1:6" x14ac:dyDescent="0.25">
      <c r="A13" s="401" t="s">
        <v>254</v>
      </c>
      <c r="B13" s="402">
        <f>' Tarife PS 19-20'!L7</f>
        <v>1.649056514697723</v>
      </c>
      <c r="C13" s="402">
        <f>' Tarife PS 20-21'!L7</f>
        <v>1.8306003888651485</v>
      </c>
      <c r="D13" s="402">
        <f>' Tarife PS 21-22'!L7</f>
        <v>2.4260030122866469</v>
      </c>
      <c r="E13" s="402">
        <f>' Tarife PS 22-23 '!L7</f>
        <v>2.9113281060677765</v>
      </c>
      <c r="F13" s="402">
        <f>' Tarife PS 23-24'!L7</f>
        <v>2.707188589822469</v>
      </c>
    </row>
    <row r="33" spans="1:2" x14ac:dyDescent="0.25">
      <c r="A33" t="s">
        <v>255</v>
      </c>
    </row>
    <row r="35" spans="1:2" x14ac:dyDescent="0.25">
      <c r="A35" t="s">
        <v>256</v>
      </c>
    </row>
    <row r="36" spans="1:2" x14ac:dyDescent="0.25">
      <c r="B36" t="s">
        <v>257</v>
      </c>
    </row>
    <row r="37" spans="1:2" x14ac:dyDescent="0.25">
      <c r="B37" t="s">
        <v>258</v>
      </c>
    </row>
    <row r="38" spans="1:2" x14ac:dyDescent="0.25">
      <c r="B38" t="s">
        <v>259</v>
      </c>
    </row>
    <row r="40" spans="1:2" x14ac:dyDescent="0.25">
      <c r="A40" t="s">
        <v>260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X68"/>
  <sheetViews>
    <sheetView zoomScale="110" zoomScaleNormal="110" workbookViewId="0">
      <selection activeCell="C7" sqref="C7:F42"/>
    </sheetView>
  </sheetViews>
  <sheetFormatPr defaultColWidth="9" defaultRowHeight="11.85" customHeight="1" x14ac:dyDescent="0.25"/>
  <cols>
    <col min="1" max="1" width="9" style="23"/>
    <col min="2" max="2" width="44.28515625" style="23" customWidth="1"/>
    <col min="3" max="3" width="14" style="24" bestFit="1" customWidth="1"/>
    <col min="4" max="24" width="11.140625" style="24" customWidth="1"/>
    <col min="25" max="255" width="9" style="23"/>
    <col min="256" max="256" width="35.28515625" style="23" customWidth="1"/>
    <col min="257" max="280" width="11.140625" style="23" customWidth="1"/>
    <col min="281" max="511" width="9" style="23"/>
    <col min="512" max="512" width="35.28515625" style="23" customWidth="1"/>
    <col min="513" max="536" width="11.140625" style="23" customWidth="1"/>
    <col min="537" max="767" width="9" style="23"/>
    <col min="768" max="768" width="35.28515625" style="23" customWidth="1"/>
    <col min="769" max="792" width="11.140625" style="23" customWidth="1"/>
    <col min="793" max="1023" width="9" style="23"/>
    <col min="1024" max="1024" width="35.28515625" style="23" customWidth="1"/>
    <col min="1025" max="1048" width="11.140625" style="23" customWidth="1"/>
    <col min="1049" max="1279" width="9" style="23"/>
    <col min="1280" max="1280" width="35.28515625" style="23" customWidth="1"/>
    <col min="1281" max="1304" width="11.140625" style="23" customWidth="1"/>
    <col min="1305" max="1535" width="9" style="23"/>
    <col min="1536" max="1536" width="35.28515625" style="23" customWidth="1"/>
    <col min="1537" max="1560" width="11.140625" style="23" customWidth="1"/>
    <col min="1561" max="1791" width="9" style="23"/>
    <col min="1792" max="1792" width="35.28515625" style="23" customWidth="1"/>
    <col min="1793" max="1816" width="11.140625" style="23" customWidth="1"/>
    <col min="1817" max="2047" width="9" style="23"/>
    <col min="2048" max="2048" width="35.28515625" style="23" customWidth="1"/>
    <col min="2049" max="2072" width="11.140625" style="23" customWidth="1"/>
    <col min="2073" max="2303" width="9" style="23"/>
    <col min="2304" max="2304" width="35.28515625" style="23" customWidth="1"/>
    <col min="2305" max="2328" width="11.140625" style="23" customWidth="1"/>
    <col min="2329" max="2559" width="9" style="23"/>
    <col min="2560" max="2560" width="35.28515625" style="23" customWidth="1"/>
    <col min="2561" max="2584" width="11.140625" style="23" customWidth="1"/>
    <col min="2585" max="2815" width="9" style="23"/>
    <col min="2816" max="2816" width="35.28515625" style="23" customWidth="1"/>
    <col min="2817" max="2840" width="11.140625" style="23" customWidth="1"/>
    <col min="2841" max="3071" width="9" style="23"/>
    <col min="3072" max="3072" width="35.28515625" style="23" customWidth="1"/>
    <col min="3073" max="3096" width="11.140625" style="23" customWidth="1"/>
    <col min="3097" max="3327" width="9" style="23"/>
    <col min="3328" max="3328" width="35.28515625" style="23" customWidth="1"/>
    <col min="3329" max="3352" width="11.140625" style="23" customWidth="1"/>
    <col min="3353" max="3583" width="9" style="23"/>
    <col min="3584" max="3584" width="35.28515625" style="23" customWidth="1"/>
    <col min="3585" max="3608" width="11.140625" style="23" customWidth="1"/>
    <col min="3609" max="3839" width="9" style="23"/>
    <col min="3840" max="3840" width="35.28515625" style="23" customWidth="1"/>
    <col min="3841" max="3864" width="11.140625" style="23" customWidth="1"/>
    <col min="3865" max="4095" width="9" style="23"/>
    <col min="4096" max="4096" width="35.28515625" style="23" customWidth="1"/>
    <col min="4097" max="4120" width="11.140625" style="23" customWidth="1"/>
    <col min="4121" max="4351" width="9" style="23"/>
    <col min="4352" max="4352" width="35.28515625" style="23" customWidth="1"/>
    <col min="4353" max="4376" width="11.140625" style="23" customWidth="1"/>
    <col min="4377" max="4607" width="9" style="23"/>
    <col min="4608" max="4608" width="35.28515625" style="23" customWidth="1"/>
    <col min="4609" max="4632" width="11.140625" style="23" customWidth="1"/>
    <col min="4633" max="4863" width="9" style="23"/>
    <col min="4864" max="4864" width="35.28515625" style="23" customWidth="1"/>
    <col min="4865" max="4888" width="11.140625" style="23" customWidth="1"/>
    <col min="4889" max="5119" width="9" style="23"/>
    <col min="5120" max="5120" width="35.28515625" style="23" customWidth="1"/>
    <col min="5121" max="5144" width="11.140625" style="23" customWidth="1"/>
    <col min="5145" max="5375" width="9" style="23"/>
    <col min="5376" max="5376" width="35.28515625" style="23" customWidth="1"/>
    <col min="5377" max="5400" width="11.140625" style="23" customWidth="1"/>
    <col min="5401" max="5631" width="9" style="23"/>
    <col min="5632" max="5632" width="35.28515625" style="23" customWidth="1"/>
    <col min="5633" max="5656" width="11.140625" style="23" customWidth="1"/>
    <col min="5657" max="5887" width="9" style="23"/>
    <col min="5888" max="5888" width="35.28515625" style="23" customWidth="1"/>
    <col min="5889" max="5912" width="11.140625" style="23" customWidth="1"/>
    <col min="5913" max="6143" width="9" style="23"/>
    <col min="6144" max="6144" width="35.28515625" style="23" customWidth="1"/>
    <col min="6145" max="6168" width="11.140625" style="23" customWidth="1"/>
    <col min="6169" max="6399" width="9" style="23"/>
    <col min="6400" max="6400" width="35.28515625" style="23" customWidth="1"/>
    <col min="6401" max="6424" width="11.140625" style="23" customWidth="1"/>
    <col min="6425" max="6655" width="9" style="23"/>
    <col min="6656" max="6656" width="35.28515625" style="23" customWidth="1"/>
    <col min="6657" max="6680" width="11.140625" style="23" customWidth="1"/>
    <col min="6681" max="6911" width="9" style="23"/>
    <col min="6912" max="6912" width="35.28515625" style="23" customWidth="1"/>
    <col min="6913" max="6936" width="11.140625" style="23" customWidth="1"/>
    <col min="6937" max="7167" width="9" style="23"/>
    <col min="7168" max="7168" width="35.28515625" style="23" customWidth="1"/>
    <col min="7169" max="7192" width="11.140625" style="23" customWidth="1"/>
    <col min="7193" max="7423" width="9" style="23"/>
    <col min="7424" max="7424" width="35.28515625" style="23" customWidth="1"/>
    <col min="7425" max="7448" width="11.140625" style="23" customWidth="1"/>
    <col min="7449" max="7679" width="9" style="23"/>
    <col min="7680" max="7680" width="35.28515625" style="23" customWidth="1"/>
    <col min="7681" max="7704" width="11.140625" style="23" customWidth="1"/>
    <col min="7705" max="7935" width="9" style="23"/>
    <col min="7936" max="7936" width="35.28515625" style="23" customWidth="1"/>
    <col min="7937" max="7960" width="11.140625" style="23" customWidth="1"/>
    <col min="7961" max="8191" width="9" style="23"/>
    <col min="8192" max="8192" width="35.28515625" style="23" customWidth="1"/>
    <col min="8193" max="8216" width="11.140625" style="23" customWidth="1"/>
    <col min="8217" max="8447" width="9" style="23"/>
    <col min="8448" max="8448" width="35.28515625" style="23" customWidth="1"/>
    <col min="8449" max="8472" width="11.140625" style="23" customWidth="1"/>
    <col min="8473" max="8703" width="9" style="23"/>
    <col min="8704" max="8704" width="35.28515625" style="23" customWidth="1"/>
    <col min="8705" max="8728" width="11.140625" style="23" customWidth="1"/>
    <col min="8729" max="8959" width="9" style="23"/>
    <col min="8960" max="8960" width="35.28515625" style="23" customWidth="1"/>
    <col min="8961" max="8984" width="11.140625" style="23" customWidth="1"/>
    <col min="8985" max="9215" width="9" style="23"/>
    <col min="9216" max="9216" width="35.28515625" style="23" customWidth="1"/>
    <col min="9217" max="9240" width="11.140625" style="23" customWidth="1"/>
    <col min="9241" max="9471" width="9" style="23"/>
    <col min="9472" max="9472" width="35.28515625" style="23" customWidth="1"/>
    <col min="9473" max="9496" width="11.140625" style="23" customWidth="1"/>
    <col min="9497" max="9727" width="9" style="23"/>
    <col min="9728" max="9728" width="35.28515625" style="23" customWidth="1"/>
    <col min="9729" max="9752" width="11.140625" style="23" customWidth="1"/>
    <col min="9753" max="9983" width="9" style="23"/>
    <col min="9984" max="9984" width="35.28515625" style="23" customWidth="1"/>
    <col min="9985" max="10008" width="11.140625" style="23" customWidth="1"/>
    <col min="10009" max="10239" width="9" style="23"/>
    <col min="10240" max="10240" width="35.28515625" style="23" customWidth="1"/>
    <col min="10241" max="10264" width="11.140625" style="23" customWidth="1"/>
    <col min="10265" max="10495" width="9" style="23"/>
    <col min="10496" max="10496" width="35.28515625" style="23" customWidth="1"/>
    <col min="10497" max="10520" width="11.140625" style="23" customWidth="1"/>
    <col min="10521" max="10751" width="9" style="23"/>
    <col min="10752" max="10752" width="35.28515625" style="23" customWidth="1"/>
    <col min="10753" max="10776" width="11.140625" style="23" customWidth="1"/>
    <col min="10777" max="11007" width="9" style="23"/>
    <col min="11008" max="11008" width="35.28515625" style="23" customWidth="1"/>
    <col min="11009" max="11032" width="11.140625" style="23" customWidth="1"/>
    <col min="11033" max="11263" width="9" style="23"/>
    <col min="11264" max="11264" width="35.28515625" style="23" customWidth="1"/>
    <col min="11265" max="11288" width="11.140625" style="23" customWidth="1"/>
    <col min="11289" max="11519" width="9" style="23"/>
    <col min="11520" max="11520" width="35.28515625" style="23" customWidth="1"/>
    <col min="11521" max="11544" width="11.140625" style="23" customWidth="1"/>
    <col min="11545" max="11775" width="9" style="23"/>
    <col min="11776" max="11776" width="35.28515625" style="23" customWidth="1"/>
    <col min="11777" max="11800" width="11.140625" style="23" customWidth="1"/>
    <col min="11801" max="12031" width="9" style="23"/>
    <col min="12032" max="12032" width="35.28515625" style="23" customWidth="1"/>
    <col min="12033" max="12056" width="11.140625" style="23" customWidth="1"/>
    <col min="12057" max="12287" width="9" style="23"/>
    <col min="12288" max="12288" width="35.28515625" style="23" customWidth="1"/>
    <col min="12289" max="12312" width="11.140625" style="23" customWidth="1"/>
    <col min="12313" max="12543" width="9" style="23"/>
    <col min="12544" max="12544" width="35.28515625" style="23" customWidth="1"/>
    <col min="12545" max="12568" width="11.140625" style="23" customWidth="1"/>
    <col min="12569" max="12799" width="9" style="23"/>
    <col min="12800" max="12800" width="35.28515625" style="23" customWidth="1"/>
    <col min="12801" max="12824" width="11.140625" style="23" customWidth="1"/>
    <col min="12825" max="13055" width="9" style="23"/>
    <col min="13056" max="13056" width="35.28515625" style="23" customWidth="1"/>
    <col min="13057" max="13080" width="11.140625" style="23" customWidth="1"/>
    <col min="13081" max="13311" width="9" style="23"/>
    <col min="13312" max="13312" width="35.28515625" style="23" customWidth="1"/>
    <col min="13313" max="13336" width="11.140625" style="23" customWidth="1"/>
    <col min="13337" max="13567" width="9" style="23"/>
    <col min="13568" max="13568" width="35.28515625" style="23" customWidth="1"/>
    <col min="13569" max="13592" width="11.140625" style="23" customWidth="1"/>
    <col min="13593" max="13823" width="9" style="23"/>
    <col min="13824" max="13824" width="35.28515625" style="23" customWidth="1"/>
    <col min="13825" max="13848" width="11.140625" style="23" customWidth="1"/>
    <col min="13849" max="14079" width="9" style="23"/>
    <col min="14080" max="14080" width="35.28515625" style="23" customWidth="1"/>
    <col min="14081" max="14104" width="11.140625" style="23" customWidth="1"/>
    <col min="14105" max="14335" width="9" style="23"/>
    <col min="14336" max="14336" width="35.28515625" style="23" customWidth="1"/>
    <col min="14337" max="14360" width="11.140625" style="23" customWidth="1"/>
    <col min="14361" max="14591" width="9" style="23"/>
    <col min="14592" max="14592" width="35.28515625" style="23" customWidth="1"/>
    <col min="14593" max="14616" width="11.140625" style="23" customWidth="1"/>
    <col min="14617" max="14847" width="9" style="23"/>
    <col min="14848" max="14848" width="35.28515625" style="23" customWidth="1"/>
    <col min="14849" max="14872" width="11.140625" style="23" customWidth="1"/>
    <col min="14873" max="15103" width="9" style="23"/>
    <col min="15104" max="15104" width="35.28515625" style="23" customWidth="1"/>
    <col min="15105" max="15128" width="11.140625" style="23" customWidth="1"/>
    <col min="15129" max="15359" width="9" style="23"/>
    <col min="15360" max="15360" width="35.28515625" style="23" customWidth="1"/>
    <col min="15361" max="15384" width="11.140625" style="23" customWidth="1"/>
    <col min="15385" max="15615" width="9" style="23"/>
    <col min="15616" max="15616" width="35.28515625" style="23" customWidth="1"/>
    <col min="15617" max="15640" width="11.140625" style="23" customWidth="1"/>
    <col min="15641" max="15871" width="9" style="23"/>
    <col min="15872" max="15872" width="35.28515625" style="23" customWidth="1"/>
    <col min="15873" max="15896" width="11.140625" style="23" customWidth="1"/>
    <col min="15897" max="16127" width="9" style="23"/>
    <col min="16128" max="16128" width="35.28515625" style="23" customWidth="1"/>
    <col min="16129" max="16152" width="11.140625" style="23" customWidth="1"/>
    <col min="16153" max="16384" width="9" style="23"/>
  </cols>
  <sheetData>
    <row r="2" spans="1:14" ht="11.85" customHeight="1" x14ac:dyDescent="0.25">
      <c r="B2" s="23" t="s">
        <v>95</v>
      </c>
      <c r="C2" s="24">
        <f>ipoteze!B9</f>
        <v>1332108.8328962084</v>
      </c>
    </row>
    <row r="3" spans="1:14" ht="11.85" customHeight="1" x14ac:dyDescent="0.25">
      <c r="B3" s="23" t="s">
        <v>31</v>
      </c>
      <c r="C3" s="25">
        <f>C2*D3</f>
        <v>999081.62467215629</v>
      </c>
      <c r="D3" s="26">
        <v>0.75</v>
      </c>
      <c r="E3" s="27">
        <f>C3*C4</f>
        <v>499540.81233607815</v>
      </c>
      <c r="F3" s="27">
        <f>C3*C4</f>
        <v>499540.81233607815</v>
      </c>
      <c r="G3" s="28"/>
      <c r="H3" s="28"/>
    </row>
    <row r="4" spans="1:14" ht="12" customHeight="1" thickBot="1" x14ac:dyDescent="0.3">
      <c r="B4" s="23" t="s">
        <v>32</v>
      </c>
      <c r="C4" s="29">
        <v>0.5</v>
      </c>
    </row>
    <row r="5" spans="1:14" ht="23.85" customHeight="1" thickTop="1" x14ac:dyDescent="0.25">
      <c r="B5" s="30"/>
      <c r="C5" s="31"/>
      <c r="D5" s="31"/>
      <c r="E5" s="32" t="s">
        <v>33</v>
      </c>
      <c r="F5" s="32" t="s">
        <v>34</v>
      </c>
      <c r="G5" s="32" t="s">
        <v>33</v>
      </c>
      <c r="H5" s="32" t="s">
        <v>34</v>
      </c>
      <c r="I5" s="32" t="s">
        <v>33</v>
      </c>
      <c r="J5" s="32" t="s">
        <v>34</v>
      </c>
      <c r="K5" s="32" t="s">
        <v>33</v>
      </c>
      <c r="L5" s="32" t="s">
        <v>34</v>
      </c>
      <c r="M5" s="32" t="s">
        <v>33</v>
      </c>
      <c r="N5" s="33" t="s">
        <v>34</v>
      </c>
    </row>
    <row r="6" spans="1:14" ht="11.85" customHeight="1" x14ac:dyDescent="0.25">
      <c r="B6" s="34" t="s">
        <v>35</v>
      </c>
      <c r="C6" s="35" t="s">
        <v>36</v>
      </c>
      <c r="D6" s="35" t="s">
        <v>37</v>
      </c>
      <c r="E6" s="472" t="s">
        <v>38</v>
      </c>
      <c r="F6" s="474"/>
      <c r="G6" s="472" t="s">
        <v>39</v>
      </c>
      <c r="H6" s="474"/>
      <c r="I6" s="472" t="s">
        <v>40</v>
      </c>
      <c r="J6" s="474"/>
      <c r="K6" s="472" t="s">
        <v>41</v>
      </c>
      <c r="L6" s="474"/>
      <c r="M6" s="472" t="s">
        <v>42</v>
      </c>
      <c r="N6" s="473"/>
    </row>
    <row r="7" spans="1:14" ht="11.85" customHeight="1" x14ac:dyDescent="0.25">
      <c r="B7" s="36" t="s">
        <v>43</v>
      </c>
      <c r="C7" s="37">
        <v>8760</v>
      </c>
      <c r="D7" s="27"/>
      <c r="E7" s="27">
        <f>'ESTIMARE I_E-19-20'!G5+'Estimare T1 18-19'!G9-'ESTIMARE I_E-19-20'!G6</f>
        <v>17826.368051210033</v>
      </c>
      <c r="F7" s="27">
        <f>'ESTIMARE I_E-19-20'!G12+'Estimare T1 18-19'!G9-'ESTIMARE I_E-19-20'!G15</f>
        <v>31433.963747309252</v>
      </c>
      <c r="G7" s="27">
        <f>+E7*C7</f>
        <v>156158984.12859988</v>
      </c>
      <c r="H7" s="27">
        <f>+F7*C7</f>
        <v>275361522.42642903</v>
      </c>
      <c r="I7" s="27">
        <f>C7*E7</f>
        <v>156158984.12859988</v>
      </c>
      <c r="J7" s="27">
        <f>C7*F7</f>
        <v>275361522.42642903</v>
      </c>
      <c r="K7" s="38">
        <f>E3/I43*1000</f>
        <v>2.3148586137822957</v>
      </c>
      <c r="L7" s="38">
        <f>F3/J43*1000</f>
        <v>1.649056514697723</v>
      </c>
      <c r="M7" s="27">
        <f>I7*K7</f>
        <v>361485969.52958226</v>
      </c>
      <c r="N7" s="39">
        <f>J7*L7</f>
        <v>454086712.45438594</v>
      </c>
    </row>
    <row r="8" spans="1:14" ht="11.85" customHeight="1" x14ac:dyDescent="0.25">
      <c r="B8" s="71" t="s">
        <v>44</v>
      </c>
      <c r="C8" s="37">
        <v>8760</v>
      </c>
      <c r="D8" s="38">
        <v>0.5</v>
      </c>
      <c r="E8" s="27">
        <f>'ESTIMARE I_E-19-20'!G6</f>
        <v>936.06885483999565</v>
      </c>
      <c r="F8" s="27"/>
      <c r="G8" s="27">
        <f>+E8*C8</f>
        <v>8199963.1683983617</v>
      </c>
      <c r="H8" s="27">
        <f t="shared" ref="H8:H42" si="0">+F8*C8</f>
        <v>0</v>
      </c>
      <c r="I8" s="27">
        <f>C8*E8*D8</f>
        <v>4099981.5841991808</v>
      </c>
      <c r="J8" s="27"/>
      <c r="K8" s="38">
        <f t="shared" ref="K8" si="1">$K$7*D8</f>
        <v>1.1574293068911479</v>
      </c>
      <c r="L8" s="38"/>
      <c r="M8" s="27">
        <f t="shared" ref="M8" si="2">E8*$C8*K8</f>
        <v>9490877.6865322571</v>
      </c>
      <c r="N8" s="39">
        <f>J8*L8</f>
        <v>0</v>
      </c>
    </row>
    <row r="9" spans="1:14" ht="11.85" customHeight="1" x14ac:dyDescent="0.25">
      <c r="B9" s="71" t="s">
        <v>45</v>
      </c>
      <c r="C9" s="37">
        <v>8760</v>
      </c>
      <c r="D9" s="38">
        <v>0.5</v>
      </c>
      <c r="E9" s="27"/>
      <c r="F9" s="27">
        <f>'ESTIMARE I_E-19-20'!G15</f>
        <v>1835.4968018394873</v>
      </c>
      <c r="G9" s="27">
        <f t="shared" ref="G9:G42" si="3">+E9*C9</f>
        <v>0</v>
      </c>
      <c r="H9" s="27">
        <f>+F9*C9</f>
        <v>16078951.984113909</v>
      </c>
      <c r="I9" s="27"/>
      <c r="J9" s="27">
        <f>C9*F9*D9</f>
        <v>8039475.9920569547</v>
      </c>
      <c r="K9" s="38"/>
      <c r="L9" s="38">
        <f t="shared" ref="L9:L42" si="4">$L$7*D9</f>
        <v>0.82452825734886148</v>
      </c>
      <c r="M9" s="27"/>
      <c r="N9" s="39">
        <f t="shared" ref="N9:N42" si="5">F9*$C9*L9</f>
        <v>13257550.25945746</v>
      </c>
    </row>
    <row r="10" spans="1:14" ht="11.85" customHeight="1" x14ac:dyDescent="0.25">
      <c r="B10" s="36" t="s">
        <v>46</v>
      </c>
      <c r="C10" s="37"/>
      <c r="D10" s="27"/>
      <c r="E10" s="27"/>
      <c r="F10" s="27"/>
      <c r="G10" s="27">
        <f t="shared" si="3"/>
        <v>0</v>
      </c>
      <c r="H10" s="27">
        <f t="shared" si="0"/>
        <v>0</v>
      </c>
      <c r="I10" s="27"/>
      <c r="J10" s="27"/>
      <c r="K10" s="38"/>
      <c r="L10" s="38"/>
      <c r="M10" s="27"/>
      <c r="N10" s="39"/>
    </row>
    <row r="11" spans="1:14" ht="11.85" customHeight="1" x14ac:dyDescent="0.25">
      <c r="A11" s="72"/>
      <c r="B11" s="36" t="s">
        <v>96</v>
      </c>
      <c r="C11" s="37">
        <v>2208</v>
      </c>
      <c r="D11" s="38">
        <f>'Multiplicatori 19-20-TAR'!C10</f>
        <v>1.5185125850415957</v>
      </c>
      <c r="E11" s="27">
        <f>'ESTIMARE I_E-19-20'!G24-'ESTIMARE I_E-19-20'!G25+'Estimare T1 18-19'!G12</f>
        <v>3356.1190086235451</v>
      </c>
      <c r="F11" s="27">
        <f>'ESTIMARE I_E-19-20'!G30+'Estimare T1 18-19'!G12</f>
        <v>1165.4274431909712</v>
      </c>
      <c r="G11" s="27">
        <f t="shared" si="3"/>
        <v>7410310.7710407879</v>
      </c>
      <c r="H11" s="27">
        <f t="shared" si="0"/>
        <v>2573263.7945656646</v>
      </c>
      <c r="I11" s="27">
        <f t="shared" ref="I11:J26" si="6">$C11*$D11*E11</f>
        <v>11252650.164894726</v>
      </c>
      <c r="J11" s="27">
        <f t="shared" si="6"/>
        <v>3907533.4566798522</v>
      </c>
      <c r="K11" s="38">
        <f t="shared" ref="K11:K42" si="7">$K$7*D11</f>
        <v>3.5151419376203585</v>
      </c>
      <c r="L11" s="38">
        <f t="shared" si="4"/>
        <v>2.5041130710133235</v>
      </c>
      <c r="M11" s="27">
        <f t="shared" ref="M11:M42" si="8">E11*$C11*K11</f>
        <v>26048294.162085328</v>
      </c>
      <c r="N11" s="39">
        <f t="shared" si="5"/>
        <v>6443743.5031372244</v>
      </c>
    </row>
    <row r="12" spans="1:14" ht="11.85" customHeight="1" x14ac:dyDescent="0.25">
      <c r="A12" s="72"/>
      <c r="B12" s="71" t="s">
        <v>97</v>
      </c>
      <c r="C12" s="37">
        <v>2208</v>
      </c>
      <c r="D12" s="38">
        <f>D11*0.5</f>
        <v>0.75925629252079785</v>
      </c>
      <c r="E12" s="27">
        <f>'ESTIMARE I_E-19-20'!G25</f>
        <v>12.707146666872832</v>
      </c>
      <c r="F12" s="27"/>
      <c r="G12" s="27">
        <f t="shared" si="3"/>
        <v>28057.379840455214</v>
      </c>
      <c r="H12" s="27">
        <f t="shared" si="0"/>
        <v>0</v>
      </c>
      <c r="I12" s="27">
        <f t="shared" si="6"/>
        <v>21302.742195511801</v>
      </c>
      <c r="J12" s="27">
        <f t="shared" si="6"/>
        <v>0</v>
      </c>
      <c r="K12" s="38">
        <f t="shared" si="7"/>
        <v>1.7575709688101793</v>
      </c>
      <c r="L12" s="38">
        <f t="shared" si="4"/>
        <v>1.2520565355066617</v>
      </c>
      <c r="M12" s="27">
        <f t="shared" si="8"/>
        <v>49312.836268464067</v>
      </c>
      <c r="N12" s="39">
        <f t="shared" si="5"/>
        <v>0</v>
      </c>
    </row>
    <row r="13" spans="1:14" ht="11.85" customHeight="1" x14ac:dyDescent="0.25">
      <c r="A13" s="72"/>
      <c r="B13" s="36" t="s">
        <v>98</v>
      </c>
      <c r="C13" s="37">
        <v>2160</v>
      </c>
      <c r="D13" s="38">
        <f>'Multiplicatori 19-20-TAR'!F10</f>
        <v>1.7104305453885036</v>
      </c>
      <c r="E13" s="27">
        <f>'ESTIMARE I_E-19-20'!G37-'ESTIMARE I_E-19-20'!G38+'Estimare T1 18-19'!G14</f>
        <v>3790.6050882259528</v>
      </c>
      <c r="F13" s="27">
        <f>'ESTIMARE I_E-19-20'!G43+'Estimare T1 18-19'!G14</f>
        <v>1748.4830818781622</v>
      </c>
      <c r="G13" s="27">
        <f t="shared" si="3"/>
        <v>8187706.9905680586</v>
      </c>
      <c r="H13" s="27">
        <f t="shared" si="0"/>
        <v>3776723.4568568305</v>
      </c>
      <c r="I13" s="27">
        <f t="shared" si="6"/>
        <v>14004504.133358588</v>
      </c>
      <c r="J13" s="27">
        <f t="shared" si="6"/>
        <v>6459823.162093183</v>
      </c>
      <c r="K13" s="38">
        <f t="shared" si="7"/>
        <v>3.9594048812689273</v>
      </c>
      <c r="L13" s="38">
        <f t="shared" si="4"/>
        <v>2.820596633810891</v>
      </c>
      <c r="M13" s="27">
        <f t="shared" si="8"/>
        <v>32418447.024854891</v>
      </c>
      <c r="N13" s="39">
        <f t="shared" si="5"/>
        <v>10652613.469245007</v>
      </c>
    </row>
    <row r="14" spans="1:14" ht="11.85" customHeight="1" x14ac:dyDescent="0.25">
      <c r="A14" s="72"/>
      <c r="B14" s="71" t="s">
        <v>99</v>
      </c>
      <c r="C14" s="37">
        <v>2160</v>
      </c>
      <c r="D14" s="38">
        <f>D13*0.5</f>
        <v>0.85521527269425179</v>
      </c>
      <c r="E14" s="27">
        <f>'ESTIMARE I_E-19-20'!G38</f>
        <v>1171.8949117740472</v>
      </c>
      <c r="F14" s="27"/>
      <c r="G14" s="27">
        <f t="shared" si="3"/>
        <v>2531293.0094319419</v>
      </c>
      <c r="H14" s="27">
        <f t="shared" si="0"/>
        <v>0</v>
      </c>
      <c r="I14" s="27">
        <f t="shared" si="6"/>
        <v>2164800.4413303914</v>
      </c>
      <c r="J14" s="27">
        <f t="shared" si="6"/>
        <v>0</v>
      </c>
      <c r="K14" s="38">
        <f t="shared" si="7"/>
        <v>1.9797024406344637</v>
      </c>
      <c r="L14" s="38">
        <f t="shared" si="4"/>
        <v>1.4102983169054455</v>
      </c>
      <c r="M14" s="27">
        <f t="shared" si="8"/>
        <v>5011206.9487333717</v>
      </c>
      <c r="N14" s="39">
        <f t="shared" si="5"/>
        <v>0</v>
      </c>
    </row>
    <row r="15" spans="1:14" ht="11.85" customHeight="1" x14ac:dyDescent="0.25">
      <c r="A15" s="72"/>
      <c r="B15" s="36" t="s">
        <v>100</v>
      </c>
      <c r="C15" s="37">
        <v>2184</v>
      </c>
      <c r="D15" s="38">
        <f>'Multiplicatori 19-20-TAR'!I10</f>
        <v>0.91605862043843567</v>
      </c>
      <c r="E15" s="27">
        <f>'ESTIMARE I_E-19-20'!G50</f>
        <v>75.75</v>
      </c>
      <c r="F15" s="27">
        <f>'ESTIMARE I_E-19-20'!G55</f>
        <v>60.779242672379219</v>
      </c>
      <c r="G15" s="27">
        <f t="shared" si="3"/>
        <v>165438</v>
      </c>
      <c r="H15" s="27">
        <f t="shared" si="0"/>
        <v>132741.8659964762</v>
      </c>
      <c r="I15" s="27">
        <f t="shared" si="6"/>
        <v>151550.90604809392</v>
      </c>
      <c r="J15" s="27">
        <f t="shared" si="6"/>
        <v>121599.3306391557</v>
      </c>
      <c r="K15" s="38">
        <f t="shared" si="7"/>
        <v>2.1205461882514394</v>
      </c>
      <c r="L15" s="38">
        <f t="shared" si="4"/>
        <v>1.5106324358790111</v>
      </c>
      <c r="M15" s="27">
        <f t="shared" si="8"/>
        <v>350818.92029194161</v>
      </c>
      <c r="N15" s="39">
        <f t="shared" si="5"/>
        <v>200524.16837338213</v>
      </c>
    </row>
    <row r="16" spans="1:14" ht="11.85" customHeight="1" x14ac:dyDescent="0.25">
      <c r="A16" s="72"/>
      <c r="B16" s="71" t="s">
        <v>101</v>
      </c>
      <c r="C16" s="37">
        <v>2184</v>
      </c>
      <c r="D16" s="38">
        <f>D15*0.5</f>
        <v>0.45802931021921783</v>
      </c>
      <c r="E16" s="27"/>
      <c r="F16" s="27"/>
      <c r="G16" s="27">
        <f t="shared" si="3"/>
        <v>0</v>
      </c>
      <c r="H16" s="27">
        <f t="shared" si="0"/>
        <v>0</v>
      </c>
      <c r="I16" s="27">
        <f t="shared" si="6"/>
        <v>0</v>
      </c>
      <c r="J16" s="27">
        <f t="shared" si="6"/>
        <v>0</v>
      </c>
      <c r="K16" s="38">
        <f t="shared" si="7"/>
        <v>1.0602730941257197</v>
      </c>
      <c r="L16" s="38">
        <f t="shared" si="4"/>
        <v>0.75531621793950554</v>
      </c>
      <c r="M16" s="27">
        <f t="shared" si="8"/>
        <v>0</v>
      </c>
      <c r="N16" s="39">
        <f t="shared" si="5"/>
        <v>0</v>
      </c>
    </row>
    <row r="17" spans="1:14" ht="11.85" customHeight="1" x14ac:dyDescent="0.25">
      <c r="A17" s="72"/>
      <c r="B17" s="36" t="s">
        <v>102</v>
      </c>
      <c r="C17" s="37">
        <v>2208</v>
      </c>
      <c r="D17" s="38">
        <f>'Multiplicatori 19-20-TAR'!L10</f>
        <v>1.0549982491314653</v>
      </c>
      <c r="E17" s="27">
        <f>'ESTIMARE I_E-19-20'!G63</f>
        <v>42.083333333333336</v>
      </c>
      <c r="F17" s="27">
        <f>'ESTIMARE I_E-19-20'!G68</f>
        <v>56.124221138268815</v>
      </c>
      <c r="G17" s="27">
        <f t="shared" si="3"/>
        <v>92920</v>
      </c>
      <c r="H17" s="27">
        <f t="shared" si="0"/>
        <v>123922.28027329754</v>
      </c>
      <c r="I17" s="27">
        <f t="shared" si="6"/>
        <v>98030.437309295769</v>
      </c>
      <c r="J17" s="27">
        <f t="shared" si="6"/>
        <v>130737.78871670764</v>
      </c>
      <c r="K17" s="38">
        <f t="shared" si="7"/>
        <v>2.4421717845272131</v>
      </c>
      <c r="L17" s="38">
        <f t="shared" si="4"/>
        <v>1.7397517357249344</v>
      </c>
      <c r="M17" s="27">
        <f t="shared" si="8"/>
        <v>226926.60221826864</v>
      </c>
      <c r="N17" s="39">
        <f t="shared" si="5"/>
        <v>215594.0022004612</v>
      </c>
    </row>
    <row r="18" spans="1:14" ht="11.85" customHeight="1" x14ac:dyDescent="0.25">
      <c r="A18" s="72"/>
      <c r="B18" s="71" t="s">
        <v>103</v>
      </c>
      <c r="C18" s="37">
        <v>2208</v>
      </c>
      <c r="D18" s="38">
        <f>D17*0.5</f>
        <v>0.52749912456573267</v>
      </c>
      <c r="E18" s="27"/>
      <c r="F18" s="27"/>
      <c r="G18" s="27">
        <f t="shared" si="3"/>
        <v>0</v>
      </c>
      <c r="H18" s="27">
        <f t="shared" si="0"/>
        <v>0</v>
      </c>
      <c r="I18" s="27">
        <f t="shared" si="6"/>
        <v>0</v>
      </c>
      <c r="J18" s="27">
        <f t="shared" si="6"/>
        <v>0</v>
      </c>
      <c r="K18" s="38">
        <f t="shared" si="7"/>
        <v>1.2210858922636065</v>
      </c>
      <c r="L18" s="38">
        <f t="shared" si="4"/>
        <v>0.86987586786246718</v>
      </c>
      <c r="M18" s="27">
        <f t="shared" si="8"/>
        <v>0</v>
      </c>
      <c r="N18" s="39">
        <f t="shared" si="5"/>
        <v>0</v>
      </c>
    </row>
    <row r="19" spans="1:14" ht="11.85" customHeight="1" x14ac:dyDescent="0.25">
      <c r="B19" s="36" t="s">
        <v>53</v>
      </c>
      <c r="C19" s="37">
        <v>744</v>
      </c>
      <c r="D19" s="38">
        <f>'Multiplicatori 19-20-TAR'!C11</f>
        <v>1.3576129739155638</v>
      </c>
      <c r="E19" s="27">
        <f>'ESTIMARE I_E-19-20'!G80+'Estimare T1 18-19'!G21</f>
        <v>75</v>
      </c>
      <c r="F19" s="27"/>
      <c r="G19" s="27">
        <f t="shared" si="3"/>
        <v>55800</v>
      </c>
      <c r="H19" s="27">
        <f t="shared" si="0"/>
        <v>0</v>
      </c>
      <c r="I19" s="27">
        <f t="shared" si="6"/>
        <v>75754.803944488463</v>
      </c>
      <c r="J19" s="27">
        <f t="shared" si="6"/>
        <v>0</v>
      </c>
      <c r="K19" s="38">
        <f t="shared" si="7"/>
        <v>3.1426820868510421</v>
      </c>
      <c r="L19" s="38">
        <f t="shared" si="4"/>
        <v>2.2387805190736101</v>
      </c>
      <c r="M19" s="27">
        <f t="shared" si="8"/>
        <v>175361.66044628815</v>
      </c>
      <c r="N19" s="39">
        <f t="shared" si="5"/>
        <v>0</v>
      </c>
    </row>
    <row r="20" spans="1:14" ht="11.85" customHeight="1" x14ac:dyDescent="0.25">
      <c r="B20" s="71" t="s">
        <v>104</v>
      </c>
      <c r="C20" s="37">
        <f>+C19</f>
        <v>744</v>
      </c>
      <c r="D20" s="38">
        <f>D19*0.5</f>
        <v>0.6788064869577819</v>
      </c>
      <c r="E20" s="27"/>
      <c r="F20" s="27"/>
      <c r="G20" s="27">
        <f t="shared" si="3"/>
        <v>0</v>
      </c>
      <c r="H20" s="27">
        <f t="shared" si="0"/>
        <v>0</v>
      </c>
      <c r="I20" s="27">
        <f t="shared" si="6"/>
        <v>0</v>
      </c>
      <c r="J20" s="27">
        <f t="shared" si="6"/>
        <v>0</v>
      </c>
      <c r="K20" s="38">
        <f t="shared" si="7"/>
        <v>1.5713410434255211</v>
      </c>
      <c r="L20" s="38">
        <f t="shared" si="4"/>
        <v>1.119390259536805</v>
      </c>
      <c r="M20" s="27">
        <f t="shared" si="8"/>
        <v>0</v>
      </c>
      <c r="N20" s="39">
        <f t="shared" si="5"/>
        <v>0</v>
      </c>
    </row>
    <row r="21" spans="1:14" ht="11.85" customHeight="1" x14ac:dyDescent="0.25">
      <c r="B21" s="36" t="s">
        <v>54</v>
      </c>
      <c r="C21" s="37">
        <v>720</v>
      </c>
      <c r="D21" s="38">
        <f>'Multiplicatori 19-20-TAR'!D11</f>
        <v>1.5739981246921284</v>
      </c>
      <c r="E21" s="27">
        <f>'ESTIMARE I_E-19-20'!G93-'ESTIMARE I_E-19-20'!G94+'Estimare T1 18-19'!G23</f>
        <v>2330.7881151920637</v>
      </c>
      <c r="F21" s="27">
        <f>'ESTIMARE I_E-19-20'!G99+'Estimare T1 18-19'!G23</f>
        <v>915.01868701309786</v>
      </c>
      <c r="G21" s="27">
        <f t="shared" si="3"/>
        <v>1678167.4429382859</v>
      </c>
      <c r="H21" s="27">
        <f t="shared" si="0"/>
        <v>658813.45464943047</v>
      </c>
      <c r="I21" s="27">
        <f t="shared" si="6"/>
        <v>2641432.4081042465</v>
      </c>
      <c r="J21" s="27">
        <f t="shared" si="6"/>
        <v>1036971.1421401461</v>
      </c>
      <c r="K21" s="38">
        <f t="shared" si="7"/>
        <v>3.6435831170207535</v>
      </c>
      <c r="L21" s="38">
        <f t="shared" si="4"/>
        <v>2.595611861645553</v>
      </c>
      <c r="M21" s="27">
        <f t="shared" si="8"/>
        <v>6114542.5626238268</v>
      </c>
      <c r="N21" s="39">
        <f t="shared" si="5"/>
        <v>1710024.0174997463</v>
      </c>
    </row>
    <row r="22" spans="1:14" ht="11.85" customHeight="1" x14ac:dyDescent="0.25">
      <c r="B22" s="71" t="s">
        <v>105</v>
      </c>
      <c r="C22" s="37">
        <f>+C21</f>
        <v>720</v>
      </c>
      <c r="D22" s="38">
        <f>D21*0.5</f>
        <v>0.7869990623460642</v>
      </c>
      <c r="E22" s="27">
        <f>'ESTIMARE I_E-19-20'!G94</f>
        <v>252.54521814126952</v>
      </c>
      <c r="F22" s="27"/>
      <c r="G22" s="27">
        <f t="shared" si="3"/>
        <v>181832.55706171406</v>
      </c>
      <c r="H22" s="27">
        <f t="shared" si="0"/>
        <v>0</v>
      </c>
      <c r="I22" s="27">
        <f t="shared" si="6"/>
        <v>143102.05191155616</v>
      </c>
      <c r="J22" s="27">
        <f t="shared" si="6"/>
        <v>0</v>
      </c>
      <c r="K22" s="38">
        <f t="shared" si="7"/>
        <v>1.8217915585103768</v>
      </c>
      <c r="L22" s="38">
        <f t="shared" si="4"/>
        <v>1.2978059308227765</v>
      </c>
      <c r="M22" s="27">
        <f t="shared" si="8"/>
        <v>331261.01751738705</v>
      </c>
      <c r="N22" s="39">
        <f t="shared" si="5"/>
        <v>0</v>
      </c>
    </row>
    <row r="23" spans="1:14" ht="11.85" customHeight="1" x14ac:dyDescent="0.25">
      <c r="B23" s="36" t="s">
        <v>55</v>
      </c>
      <c r="C23" s="37">
        <v>744</v>
      </c>
      <c r="D23" s="38">
        <f>'Multiplicatori 19-20-TAR'!E11</f>
        <v>2.3247786188439856</v>
      </c>
      <c r="E23" s="27">
        <f>'ESTIMARE I_E-19-20'!G106-'ESTIMARE I_E-19-20'!G107+'Estimare T1 18-19'!G25</f>
        <v>3967.7932905663988</v>
      </c>
      <c r="F23" s="27">
        <f>'ESTIMARE I_E-19-20'!G112+'Estimare T1 18-19'!G25</f>
        <v>1469.1558866669909</v>
      </c>
      <c r="G23" s="27">
        <f t="shared" si="3"/>
        <v>2952038.2081814008</v>
      </c>
      <c r="H23" s="27">
        <f t="shared" si="0"/>
        <v>1093051.9796802413</v>
      </c>
      <c r="I23" s="27">
        <f t="shared" si="6"/>
        <v>6862835.3083906304</v>
      </c>
      <c r="J23" s="27">
        <f t="shared" si="6"/>
        <v>2541103.8716457156</v>
      </c>
      <c r="K23" s="38">
        <f t="shared" si="7"/>
        <v>5.3815338109679089</v>
      </c>
      <c r="L23" s="38">
        <f t="shared" si="4"/>
        <v>3.8336913266346491</v>
      </c>
      <c r="M23" s="27">
        <f t="shared" si="8"/>
        <v>15886493.428597331</v>
      </c>
      <c r="N23" s="39">
        <f t="shared" si="5"/>
        <v>4190423.894060974</v>
      </c>
    </row>
    <row r="24" spans="1:14" ht="11.85" customHeight="1" x14ac:dyDescent="0.25">
      <c r="B24" s="71" t="s">
        <v>106</v>
      </c>
      <c r="C24" s="37">
        <f>+C23</f>
        <v>744</v>
      </c>
      <c r="D24" s="38">
        <f>D23*0.5</f>
        <v>1.1623893094219928</v>
      </c>
      <c r="E24" s="27">
        <f>'ESTIMARE I_E-19-20'!G107</f>
        <v>1615.5400427669347</v>
      </c>
      <c r="F24" s="27"/>
      <c r="G24" s="27">
        <f t="shared" si="3"/>
        <v>1201961.7918185994</v>
      </c>
      <c r="H24" s="27">
        <f t="shared" si="0"/>
        <v>0</v>
      </c>
      <c r="I24" s="27">
        <f t="shared" si="6"/>
        <v>1397147.5371436428</v>
      </c>
      <c r="J24" s="27">
        <f t="shared" si="6"/>
        <v>0</v>
      </c>
      <c r="K24" s="38">
        <f t="shared" si="7"/>
        <v>2.6907669054839545</v>
      </c>
      <c r="L24" s="38">
        <f t="shared" si="4"/>
        <v>1.9168456633173245</v>
      </c>
      <c r="M24" s="27">
        <f t="shared" si="8"/>
        <v>3234199.0110816821</v>
      </c>
      <c r="N24" s="39">
        <f t="shared" si="5"/>
        <v>0</v>
      </c>
    </row>
    <row r="25" spans="1:14" ht="11.85" customHeight="1" x14ac:dyDescent="0.25">
      <c r="B25" s="36" t="s">
        <v>56</v>
      </c>
      <c r="C25" s="37">
        <v>744</v>
      </c>
      <c r="D25" s="38">
        <f>'Multiplicatori 19-20-TAR'!F11</f>
        <v>2.8978227186961858</v>
      </c>
      <c r="E25" s="27">
        <f>'ESTIMARE I_E-19-20'!G119-'ESTIMARE I_E-19-20'!G120+'Estimare T1 18-19'!G27</f>
        <v>4406.5867586263739</v>
      </c>
      <c r="F25" s="27">
        <f>'ESTIMARE I_E-19-20'!G125+'Estimare T1 18-19'!G27</f>
        <v>1625.6383271531261</v>
      </c>
      <c r="G25" s="27">
        <f t="shared" si="3"/>
        <v>3278500.5484180222</v>
      </c>
      <c r="H25" s="27">
        <f t="shared" si="0"/>
        <v>1209474.9154019258</v>
      </c>
      <c r="I25" s="27">
        <f t="shared" si="6"/>
        <v>9500513.3724636491</v>
      </c>
      <c r="J25" s="27">
        <f t="shared" si="6"/>
        <v>3504843.8875448476</v>
      </c>
      <c r="K25" s="38">
        <f t="shared" si="7"/>
        <v>6.7080498815878959</v>
      </c>
      <c r="L25" s="38">
        <f t="shared" si="4"/>
        <v>4.7786734327050127</v>
      </c>
      <c r="M25" s="27">
        <f t="shared" si="8"/>
        <v>21992345.215601366</v>
      </c>
      <c r="N25" s="39">
        <f t="shared" si="5"/>
        <v>5779685.6457543252</v>
      </c>
    </row>
    <row r="26" spans="1:14" ht="11.85" customHeight="1" x14ac:dyDescent="0.25">
      <c r="B26" s="71" t="s">
        <v>107</v>
      </c>
      <c r="C26" s="37">
        <f>+C25</f>
        <v>744</v>
      </c>
      <c r="D26" s="38">
        <f>D25*0.5</f>
        <v>1.4489113593480929</v>
      </c>
      <c r="E26" s="27">
        <f>'ESTIMARE I_E-19-20'!G120</f>
        <v>1655.9132413736259</v>
      </c>
      <c r="F26" s="27"/>
      <c r="G26" s="27">
        <f t="shared" si="3"/>
        <v>1231999.4515819775</v>
      </c>
      <c r="H26" s="27">
        <f t="shared" si="0"/>
        <v>0</v>
      </c>
      <c r="I26" s="27">
        <f t="shared" si="6"/>
        <v>1785058.000107748</v>
      </c>
      <c r="J26" s="27">
        <f t="shared" si="6"/>
        <v>0</v>
      </c>
      <c r="K26" s="38">
        <f t="shared" si="7"/>
        <v>3.354024940793948</v>
      </c>
      <c r="L26" s="38">
        <f t="shared" si="4"/>
        <v>2.3893367163525063</v>
      </c>
      <c r="M26" s="27">
        <f t="shared" si="8"/>
        <v>4132156.8876504186</v>
      </c>
      <c r="N26" s="39">
        <f t="shared" si="5"/>
        <v>0</v>
      </c>
    </row>
    <row r="27" spans="1:14" ht="11.85" customHeight="1" x14ac:dyDescent="0.25">
      <c r="B27" s="36" t="s">
        <v>57</v>
      </c>
      <c r="C27" s="37">
        <v>672</v>
      </c>
      <c r="D27" s="38">
        <f>'Multiplicatori 19-20-TAR'!G11</f>
        <v>1.6228238397002848</v>
      </c>
      <c r="E27" s="27">
        <f>'ESTIMARE I_E-19-20'!G132-'ESTIMARE I_E-19-20'!G133+'Estimare T1 18-19'!G29</f>
        <v>3574.3473635640817</v>
      </c>
      <c r="F27" s="27">
        <f>'ESTIMARE I_E-19-20'!G138+'Estimare T1 18-19'!G29</f>
        <v>710.68906476885638</v>
      </c>
      <c r="G27" s="27">
        <f t="shared" si="3"/>
        <v>2401961.428315063</v>
      </c>
      <c r="H27" s="27">
        <f t="shared" si="0"/>
        <v>477583.05152467149</v>
      </c>
      <c r="I27" s="27">
        <f t="shared" ref="I27:J42" si="9">$C27*$D27*E27</f>
        <v>3897960.2679102309</v>
      </c>
      <c r="J27" s="27">
        <f t="shared" si="9"/>
        <v>775033.16145104636</v>
      </c>
      <c r="K27" s="38">
        <f t="shared" si="7"/>
        <v>3.7566077439814638</v>
      </c>
      <c r="L27" s="38">
        <f t="shared" si="4"/>
        <v>2.6761282250645277</v>
      </c>
      <c r="M27" s="27">
        <f t="shared" si="8"/>
        <v>9023226.9023531433</v>
      </c>
      <c r="N27" s="39">
        <f t="shared" si="5"/>
        <v>1278073.4839976199</v>
      </c>
    </row>
    <row r="28" spans="1:14" ht="11.85" customHeight="1" x14ac:dyDescent="0.25">
      <c r="B28" s="71" t="s">
        <v>108</v>
      </c>
      <c r="C28" s="37">
        <f>+C27</f>
        <v>672</v>
      </c>
      <c r="D28" s="38">
        <f>D27*0.5</f>
        <v>0.81141191985014238</v>
      </c>
      <c r="E28" s="27">
        <f>'ESTIMARE I_E-19-20'!G133</f>
        <v>446.48596976925182</v>
      </c>
      <c r="F28" s="27"/>
      <c r="G28" s="27">
        <f t="shared" si="3"/>
        <v>300038.57168493723</v>
      </c>
      <c r="H28" s="27">
        <f t="shared" si="0"/>
        <v>0</v>
      </c>
      <c r="I28" s="27">
        <f t="shared" si="9"/>
        <v>243454.87347996951</v>
      </c>
      <c r="J28" s="27">
        <f t="shared" si="9"/>
        <v>0</v>
      </c>
      <c r="K28" s="38">
        <f t="shared" si="7"/>
        <v>1.8783038719907319</v>
      </c>
      <c r="L28" s="38">
        <f t="shared" si="4"/>
        <v>1.3380641125322639</v>
      </c>
      <c r="M28" s="27">
        <f t="shared" si="8"/>
        <v>563563.61094238632</v>
      </c>
      <c r="N28" s="39">
        <f t="shared" si="5"/>
        <v>0</v>
      </c>
    </row>
    <row r="29" spans="1:14" ht="11.85" customHeight="1" x14ac:dyDescent="0.25">
      <c r="B29" s="36" t="s">
        <v>58</v>
      </c>
      <c r="C29" s="37">
        <v>744</v>
      </c>
      <c r="D29" s="38">
        <f>'Multiplicatori 19-20-TAR'!H11</f>
        <v>1.4000745602560418</v>
      </c>
      <c r="E29" s="27">
        <f>'ESTIMARE I_E-19-20'!G145+'Estimare T1 18-19'!G31</f>
        <v>208.33333333333331</v>
      </c>
      <c r="F29" s="27">
        <f>'ESTIMARE I_E-19-20'!G151+'Estimare T1 18-19'!G31</f>
        <v>166.66666666666666</v>
      </c>
      <c r="G29" s="27">
        <f t="shared" si="3"/>
        <v>155000</v>
      </c>
      <c r="H29" s="27">
        <f t="shared" si="0"/>
        <v>124000</v>
      </c>
      <c r="I29" s="27">
        <f t="shared" si="9"/>
        <v>217011.5568396865</v>
      </c>
      <c r="J29" s="27">
        <f t="shared" si="9"/>
        <v>173609.24547174919</v>
      </c>
      <c r="K29" s="38">
        <f t="shared" si="7"/>
        <v>3.2409746557461583</v>
      </c>
      <c r="L29" s="38">
        <f t="shared" si="4"/>
        <v>2.3088020746527755</v>
      </c>
      <c r="M29" s="27">
        <f t="shared" si="8"/>
        <v>502351.07164065453</v>
      </c>
      <c r="N29" s="39">
        <f t="shared" si="5"/>
        <v>286291.45725694415</v>
      </c>
    </row>
    <row r="30" spans="1:14" ht="11.85" customHeight="1" x14ac:dyDescent="0.25">
      <c r="B30" s="71" t="s">
        <v>109</v>
      </c>
      <c r="C30" s="37">
        <v>744</v>
      </c>
      <c r="D30" s="38">
        <f>D29*0.5</f>
        <v>0.70003728012802091</v>
      </c>
      <c r="E30" s="27"/>
      <c r="F30" s="27"/>
      <c r="G30" s="27">
        <f t="shared" si="3"/>
        <v>0</v>
      </c>
      <c r="H30" s="27">
        <f t="shared" si="0"/>
        <v>0</v>
      </c>
      <c r="I30" s="27">
        <f t="shared" si="9"/>
        <v>0</v>
      </c>
      <c r="J30" s="27">
        <f t="shared" si="9"/>
        <v>0</v>
      </c>
      <c r="K30" s="38">
        <f t="shared" si="7"/>
        <v>1.6204873278730791</v>
      </c>
      <c r="L30" s="38">
        <f t="shared" si="4"/>
        <v>1.1544010373263878</v>
      </c>
      <c r="M30" s="27">
        <f t="shared" si="8"/>
        <v>0</v>
      </c>
      <c r="N30" s="39">
        <f t="shared" si="5"/>
        <v>0</v>
      </c>
    </row>
    <row r="31" spans="1:14" ht="11.85" customHeight="1" x14ac:dyDescent="0.25">
      <c r="B31" s="36" t="s">
        <v>47</v>
      </c>
      <c r="C31" s="37">
        <v>720</v>
      </c>
      <c r="D31" s="38">
        <f>'Multiplicatori 19-20-TAR'!I11</f>
        <v>1.0994315866315754</v>
      </c>
      <c r="E31" s="27">
        <f>'ESTIMARE I_E-19-20'!G158+'Estimare T1 18-19'!G33</f>
        <v>375</v>
      </c>
      <c r="F31" s="27">
        <f>'ESTIMARE I_E-19-20'!G176+'Estimare T1 18-19'!G33</f>
        <v>333.33333333333331</v>
      </c>
      <c r="G31" s="27">
        <f t="shared" si="3"/>
        <v>270000</v>
      </c>
      <c r="H31" s="27">
        <f t="shared" si="0"/>
        <v>240000</v>
      </c>
      <c r="I31" s="27">
        <f t="shared" si="9"/>
        <v>296846.52839052537</v>
      </c>
      <c r="J31" s="27">
        <f t="shared" si="9"/>
        <v>263863.5807915781</v>
      </c>
      <c r="K31" s="38">
        <f t="shared" si="7"/>
        <v>2.5450286785784386</v>
      </c>
      <c r="L31" s="38">
        <f t="shared" si="4"/>
        <v>1.8130248203992534</v>
      </c>
      <c r="M31" s="27">
        <f t="shared" si="8"/>
        <v>687157.74321617838</v>
      </c>
      <c r="N31" s="39">
        <f t="shared" si="5"/>
        <v>435125.9568958208</v>
      </c>
    </row>
    <row r="32" spans="1:14" ht="11.85" customHeight="1" x14ac:dyDescent="0.25">
      <c r="B32" s="71" t="s">
        <v>110</v>
      </c>
      <c r="C32" s="37">
        <f>+C31</f>
        <v>720</v>
      </c>
      <c r="D32" s="38">
        <f>D31*0.5</f>
        <v>0.54971579331578768</v>
      </c>
      <c r="E32" s="27"/>
      <c r="F32" s="27"/>
      <c r="G32" s="27">
        <f t="shared" si="3"/>
        <v>0</v>
      </c>
      <c r="H32" s="27">
        <f t="shared" si="0"/>
        <v>0</v>
      </c>
      <c r="I32" s="27">
        <f t="shared" si="9"/>
        <v>0</v>
      </c>
      <c r="J32" s="27">
        <f t="shared" si="9"/>
        <v>0</v>
      </c>
      <c r="K32" s="38">
        <f t="shared" si="7"/>
        <v>1.2725143392892193</v>
      </c>
      <c r="L32" s="38">
        <f t="shared" si="4"/>
        <v>0.90651241019962669</v>
      </c>
      <c r="M32" s="27">
        <f t="shared" si="8"/>
        <v>0</v>
      </c>
      <c r="N32" s="39">
        <f t="shared" si="5"/>
        <v>0</v>
      </c>
    </row>
    <row r="33" spans="2:14" ht="11.85" customHeight="1" x14ac:dyDescent="0.25">
      <c r="B33" s="36" t="s">
        <v>48</v>
      </c>
      <c r="C33" s="37">
        <v>744</v>
      </c>
      <c r="D33" s="38">
        <f>'Multiplicatori 19-20-TAR'!J11</f>
        <v>1.2676877316123207</v>
      </c>
      <c r="E33" s="27">
        <f>'ESTIMARE I_E-19-20'!G171+'Estimare T1 18-19'!G35</f>
        <v>375</v>
      </c>
      <c r="F33" s="27">
        <f>'ESTIMARE I_E-19-20'!G176+'Estimare T1 18-19'!G35</f>
        <v>333.33333333333331</v>
      </c>
      <c r="G33" s="27">
        <f t="shared" si="3"/>
        <v>279000</v>
      </c>
      <c r="H33" s="27">
        <f t="shared" si="0"/>
        <v>248000</v>
      </c>
      <c r="I33" s="27">
        <f t="shared" si="9"/>
        <v>353684.8771198375</v>
      </c>
      <c r="J33" s="27">
        <f t="shared" si="9"/>
        <v>314386.55743985553</v>
      </c>
      <c r="K33" s="38">
        <f t="shared" si="7"/>
        <v>2.9345178651089197</v>
      </c>
      <c r="L33" s="38">
        <f t="shared" si="4"/>
        <v>2.0904887124176761</v>
      </c>
      <c r="M33" s="27">
        <f t="shared" si="8"/>
        <v>818730.48436538863</v>
      </c>
      <c r="N33" s="39">
        <f t="shared" si="5"/>
        <v>518441.20067958365</v>
      </c>
    </row>
    <row r="34" spans="2:14" ht="11.85" customHeight="1" x14ac:dyDescent="0.25">
      <c r="B34" s="71" t="s">
        <v>111</v>
      </c>
      <c r="C34" s="37">
        <f>+C33</f>
        <v>744</v>
      </c>
      <c r="D34" s="38">
        <f>D33*0.5</f>
        <v>0.63384386580616037</v>
      </c>
      <c r="E34" s="27"/>
      <c r="F34" s="27"/>
      <c r="G34" s="27">
        <f t="shared" si="3"/>
        <v>0</v>
      </c>
      <c r="H34" s="27">
        <f t="shared" si="0"/>
        <v>0</v>
      </c>
      <c r="I34" s="27">
        <f t="shared" si="9"/>
        <v>0</v>
      </c>
      <c r="J34" s="27">
        <f t="shared" si="9"/>
        <v>0</v>
      </c>
      <c r="K34" s="38">
        <f t="shared" si="7"/>
        <v>1.4672589325544598</v>
      </c>
      <c r="L34" s="38">
        <f t="shared" si="4"/>
        <v>1.045244356208838</v>
      </c>
      <c r="M34" s="27">
        <f t="shared" si="8"/>
        <v>0</v>
      </c>
      <c r="N34" s="39">
        <f t="shared" si="5"/>
        <v>0</v>
      </c>
    </row>
    <row r="35" spans="2:14" ht="11.85" customHeight="1" x14ac:dyDescent="0.25">
      <c r="B35" s="36" t="s">
        <v>49</v>
      </c>
      <c r="C35" s="37">
        <v>720</v>
      </c>
      <c r="D35" s="38">
        <f>'Multiplicatori 19-20-TAR'!K11</f>
        <v>0.80385282942761183</v>
      </c>
      <c r="E35" s="27">
        <f>'ESTIMARE I_E-19-20'!G184+'Estimare T1 18-19'!G37</f>
        <v>375</v>
      </c>
      <c r="F35" s="27">
        <f>'ESTIMARE I_E-19-20'!G189+'Estimare T1 18-19'!G37</f>
        <v>333.33333333333331</v>
      </c>
      <c r="G35" s="27">
        <f t="shared" si="3"/>
        <v>270000</v>
      </c>
      <c r="H35" s="27">
        <f t="shared" si="0"/>
        <v>240000</v>
      </c>
      <c r="I35" s="27">
        <f t="shared" si="9"/>
        <v>217040.26394545517</v>
      </c>
      <c r="J35" s="27">
        <f t="shared" si="9"/>
        <v>192924.67906262682</v>
      </c>
      <c r="K35" s="38">
        <f t="shared" si="7"/>
        <v>1.8608056464137777</v>
      </c>
      <c r="L35" s="38">
        <f t="shared" si="4"/>
        <v>1.3255987452258007</v>
      </c>
      <c r="M35" s="27">
        <f t="shared" si="8"/>
        <v>502417.52453171997</v>
      </c>
      <c r="N35" s="39">
        <f t="shared" si="5"/>
        <v>318143.69885419216</v>
      </c>
    </row>
    <row r="36" spans="2:14" ht="11.85" customHeight="1" x14ac:dyDescent="0.25">
      <c r="B36" s="71" t="s">
        <v>112</v>
      </c>
      <c r="C36" s="37">
        <f>+C35</f>
        <v>720</v>
      </c>
      <c r="D36" s="38">
        <f>D35*0.5</f>
        <v>0.40192641471380591</v>
      </c>
      <c r="E36" s="27"/>
      <c r="F36" s="27"/>
      <c r="G36" s="27">
        <f t="shared" si="3"/>
        <v>0</v>
      </c>
      <c r="H36" s="27">
        <f t="shared" si="0"/>
        <v>0</v>
      </c>
      <c r="I36" s="27">
        <f t="shared" si="9"/>
        <v>0</v>
      </c>
      <c r="J36" s="27">
        <f t="shared" si="9"/>
        <v>0</v>
      </c>
      <c r="K36" s="38">
        <f t="shared" si="7"/>
        <v>0.93040282320688883</v>
      </c>
      <c r="L36" s="38">
        <f t="shared" si="4"/>
        <v>0.66279937261290034</v>
      </c>
      <c r="M36" s="27">
        <f t="shared" si="8"/>
        <v>0</v>
      </c>
      <c r="N36" s="39">
        <f t="shared" si="5"/>
        <v>0</v>
      </c>
    </row>
    <row r="37" spans="2:14" ht="11.85" customHeight="1" x14ac:dyDescent="0.25">
      <c r="B37" s="36" t="s">
        <v>50</v>
      </c>
      <c r="C37" s="37">
        <v>744</v>
      </c>
      <c r="D37" s="38">
        <f>'Multiplicatori 19-20-TAR'!L11</f>
        <v>1.3134793042560544</v>
      </c>
      <c r="E37" s="27">
        <f>'ESTIMARE I_E-19-20'!G197+'Estimare T1 18-19'!G39</f>
        <v>145.83333333333334</v>
      </c>
      <c r="F37" s="27">
        <f>'ESTIMARE I_E-19-20'!G202+'Estimare T1 18-19'!G39</f>
        <v>104.16666666666667</v>
      </c>
      <c r="G37" s="27">
        <f t="shared" si="3"/>
        <v>108500</v>
      </c>
      <c r="H37" s="27">
        <f t="shared" si="0"/>
        <v>77500</v>
      </c>
      <c r="I37" s="27">
        <f t="shared" si="9"/>
        <v>142512.50451178191</v>
      </c>
      <c r="J37" s="27">
        <f t="shared" si="9"/>
        <v>101794.64607984421</v>
      </c>
      <c r="K37" s="38">
        <f t="shared" si="7"/>
        <v>3.0405188814819044</v>
      </c>
      <c r="L37" s="38">
        <f t="shared" si="4"/>
        <v>2.1660016036040792</v>
      </c>
      <c r="M37" s="27">
        <f t="shared" si="8"/>
        <v>329896.29864078661</v>
      </c>
      <c r="N37" s="39">
        <f t="shared" si="5"/>
        <v>167865.12427931614</v>
      </c>
    </row>
    <row r="38" spans="2:14" ht="11.85" customHeight="1" x14ac:dyDescent="0.25">
      <c r="B38" s="71" t="s">
        <v>113</v>
      </c>
      <c r="C38" s="37">
        <f>+C37</f>
        <v>744</v>
      </c>
      <c r="D38" s="38">
        <f>D37*0.5</f>
        <v>0.65673965212802721</v>
      </c>
      <c r="E38" s="27"/>
      <c r="F38" s="27"/>
      <c r="G38" s="27">
        <f t="shared" si="3"/>
        <v>0</v>
      </c>
      <c r="H38" s="27">
        <f t="shared" si="0"/>
        <v>0</v>
      </c>
      <c r="I38" s="27">
        <f t="shared" si="9"/>
        <v>0</v>
      </c>
      <c r="J38" s="27">
        <f t="shared" si="9"/>
        <v>0</v>
      </c>
      <c r="K38" s="38">
        <f t="shared" si="7"/>
        <v>1.5202594407409522</v>
      </c>
      <c r="L38" s="38">
        <f t="shared" si="4"/>
        <v>1.0830008018020396</v>
      </c>
      <c r="M38" s="27">
        <f t="shared" si="8"/>
        <v>0</v>
      </c>
      <c r="N38" s="39">
        <f t="shared" si="5"/>
        <v>0</v>
      </c>
    </row>
    <row r="39" spans="2:14" ht="11.85" customHeight="1" x14ac:dyDescent="0.25">
      <c r="B39" s="36" t="s">
        <v>51</v>
      </c>
      <c r="C39" s="37">
        <v>744</v>
      </c>
      <c r="D39" s="38">
        <f>'Multiplicatori 19-20-TAR'!M11</f>
        <v>1.2357670034409327</v>
      </c>
      <c r="E39" s="27">
        <f>'ESTIMARE I_E-19-20'!G210</f>
        <v>41.666666666666664</v>
      </c>
      <c r="F39" s="27"/>
      <c r="G39" s="27">
        <f t="shared" si="3"/>
        <v>31000</v>
      </c>
      <c r="H39" s="27">
        <f t="shared" si="0"/>
        <v>0</v>
      </c>
      <c r="I39" s="27">
        <f t="shared" si="9"/>
        <v>38308.777106668909</v>
      </c>
      <c r="J39" s="27">
        <f t="shared" si="9"/>
        <v>0</v>
      </c>
      <c r="K39" s="38">
        <f t="shared" si="7"/>
        <v>2.8606258925431791</v>
      </c>
      <c r="L39" s="38">
        <f t="shared" si="4"/>
        <v>2.0378496276727533</v>
      </c>
      <c r="M39" s="27">
        <f t="shared" si="8"/>
        <v>88679.402668838549</v>
      </c>
      <c r="N39" s="39">
        <f t="shared" si="5"/>
        <v>0</v>
      </c>
    </row>
    <row r="40" spans="2:14" ht="11.85" customHeight="1" x14ac:dyDescent="0.25">
      <c r="B40" s="71" t="s">
        <v>114</v>
      </c>
      <c r="C40" s="37">
        <f>+C39</f>
        <v>744</v>
      </c>
      <c r="D40" s="38">
        <f>D39*0.5</f>
        <v>0.61788350172046635</v>
      </c>
      <c r="E40" s="27"/>
      <c r="F40" s="27"/>
      <c r="G40" s="27">
        <f t="shared" si="3"/>
        <v>0</v>
      </c>
      <c r="H40" s="27">
        <f t="shared" si="0"/>
        <v>0</v>
      </c>
      <c r="I40" s="27">
        <f t="shared" si="9"/>
        <v>0</v>
      </c>
      <c r="J40" s="27">
        <f t="shared" si="9"/>
        <v>0</v>
      </c>
      <c r="K40" s="38">
        <f t="shared" si="7"/>
        <v>1.4303129462715896</v>
      </c>
      <c r="L40" s="38">
        <f t="shared" si="4"/>
        <v>1.0189248138363767</v>
      </c>
      <c r="M40" s="27">
        <f t="shared" si="8"/>
        <v>0</v>
      </c>
      <c r="N40" s="39">
        <f t="shared" si="5"/>
        <v>0</v>
      </c>
    </row>
    <row r="41" spans="2:14" ht="11.85" customHeight="1" x14ac:dyDescent="0.25">
      <c r="B41" s="36" t="s">
        <v>52</v>
      </c>
      <c r="C41" s="37">
        <v>720</v>
      </c>
      <c r="D41" s="38">
        <f>'Multiplicatori 19-20-TAR'!N11</f>
        <v>1.102670708527316</v>
      </c>
      <c r="E41" s="27">
        <f>'ESTIMARE I_E-19-20'!G223</f>
        <v>41.666666666666664</v>
      </c>
      <c r="F41" s="27"/>
      <c r="G41" s="27">
        <f t="shared" si="3"/>
        <v>30000</v>
      </c>
      <c r="H41" s="27">
        <f t="shared" si="0"/>
        <v>0</v>
      </c>
      <c r="I41" s="27">
        <f t="shared" si="9"/>
        <v>33080.121255819475</v>
      </c>
      <c r="J41" s="27">
        <f t="shared" si="9"/>
        <v>0</v>
      </c>
      <c r="K41" s="38">
        <f t="shared" si="7"/>
        <v>2.5525267877998843</v>
      </c>
      <c r="L41" s="38">
        <f t="shared" si="4"/>
        <v>1.8183663154633245</v>
      </c>
      <c r="M41" s="27">
        <f t="shared" si="8"/>
        <v>76575.803633996533</v>
      </c>
      <c r="N41" s="39">
        <f t="shared" si="5"/>
        <v>0</v>
      </c>
    </row>
    <row r="42" spans="2:14" ht="11.85" customHeight="1" x14ac:dyDescent="0.25">
      <c r="B42" s="71" t="s">
        <v>115</v>
      </c>
      <c r="C42" s="37">
        <f>+C41</f>
        <v>720</v>
      </c>
      <c r="D42" s="38">
        <f>D41*0.5</f>
        <v>0.55133535426365798</v>
      </c>
      <c r="E42" s="27"/>
      <c r="F42" s="27"/>
      <c r="G42" s="27">
        <f t="shared" si="3"/>
        <v>0</v>
      </c>
      <c r="H42" s="27">
        <f t="shared" si="0"/>
        <v>0</v>
      </c>
      <c r="I42" s="27">
        <f t="shared" si="9"/>
        <v>0</v>
      </c>
      <c r="J42" s="27">
        <f t="shared" si="9"/>
        <v>0</v>
      </c>
      <c r="K42" s="38">
        <f t="shared" si="7"/>
        <v>1.2762633938999421</v>
      </c>
      <c r="L42" s="38">
        <f t="shared" si="4"/>
        <v>0.90918315773166225</v>
      </c>
      <c r="M42" s="27">
        <f t="shared" si="8"/>
        <v>0</v>
      </c>
      <c r="N42" s="39">
        <f t="shared" si="5"/>
        <v>0</v>
      </c>
    </row>
    <row r="43" spans="2:14" ht="12" customHeight="1" thickBot="1" x14ac:dyDescent="0.3">
      <c r="B43" s="40" t="s">
        <v>0</v>
      </c>
      <c r="C43" s="41"/>
      <c r="D43" s="42"/>
      <c r="E43" s="43"/>
      <c r="F43" s="43"/>
      <c r="G43" s="43">
        <f>SUM(G7:G42)</f>
        <v>197200473.44787949</v>
      </c>
      <c r="H43" s="43">
        <f>SUM(H7:H42)</f>
        <v>302415549.20949161</v>
      </c>
      <c r="I43" s="43">
        <f>SUM(I7:I42)</f>
        <v>215797547.79056162</v>
      </c>
      <c r="J43" s="43">
        <f>SUM(J7:J42)</f>
        <v>302925222.92824239</v>
      </c>
      <c r="K43" s="42"/>
      <c r="L43" s="42"/>
      <c r="M43" s="43">
        <f>SUM(M7:M42)</f>
        <v>499540812.33607829</v>
      </c>
      <c r="N43" s="44">
        <f>SUM(N7:N42)</f>
        <v>499540812.33607817</v>
      </c>
    </row>
    <row r="44" spans="2:14" ht="12" customHeight="1" thickTop="1" x14ac:dyDescent="0.25">
      <c r="B44" s="45"/>
      <c r="C44" s="46"/>
      <c r="I44" s="24">
        <v>179177833.23152</v>
      </c>
      <c r="J44" s="24">
        <v>182820918.03259999</v>
      </c>
      <c r="K44" s="23"/>
      <c r="L44" s="23"/>
      <c r="M44" s="23"/>
      <c r="N44" s="23"/>
    </row>
    <row r="45" spans="2:14" ht="12" customHeight="1" x14ac:dyDescent="0.25">
      <c r="B45" s="45"/>
      <c r="C45" s="46"/>
      <c r="K45" s="23"/>
      <c r="L45" s="23"/>
      <c r="M45" s="23"/>
      <c r="N45" s="23"/>
    </row>
    <row r="46" spans="2:14" ht="11.85" customHeight="1" x14ac:dyDescent="0.25">
      <c r="B46" s="45"/>
      <c r="C46" s="46"/>
      <c r="J46" s="29"/>
      <c r="M46" s="47">
        <f>M43-E3*1000</f>
        <v>0</v>
      </c>
      <c r="N46" s="47">
        <f>N43-F3*1000</f>
        <v>0</v>
      </c>
    </row>
    <row r="48" spans="2:14" ht="11.85" customHeight="1" x14ac:dyDescent="0.25">
      <c r="B48" s="23" t="s">
        <v>59</v>
      </c>
      <c r="C48" s="24">
        <f>C2-C3</f>
        <v>333027.2082240521</v>
      </c>
    </row>
    <row r="49" spans="2:5" ht="11.85" customHeight="1" x14ac:dyDescent="0.25">
      <c r="B49" s="23" t="s">
        <v>60</v>
      </c>
      <c r="C49" s="24">
        <f>'Multiplicatori 19-20-TAR'!E32</f>
        <v>170084757.0605405</v>
      </c>
    </row>
    <row r="51" spans="2:5" ht="11.85" customHeight="1" x14ac:dyDescent="0.25">
      <c r="B51" s="23" t="s">
        <v>61</v>
      </c>
      <c r="C51" s="29">
        <f>(C48*1000)/C49</f>
        <v>1.9580073722039262</v>
      </c>
      <c r="D51" s="48"/>
      <c r="E51" s="49"/>
    </row>
    <row r="52" spans="2:5" ht="11.85" customHeight="1" x14ac:dyDescent="0.25">
      <c r="B52" s="50"/>
      <c r="C52" s="51"/>
      <c r="D52" s="29"/>
      <c r="E52" s="25"/>
    </row>
    <row r="53" spans="2:5" ht="11.85" customHeight="1" x14ac:dyDescent="0.25">
      <c r="B53" s="50"/>
      <c r="C53" s="51"/>
      <c r="D53" s="29"/>
      <c r="E53" s="25"/>
    </row>
    <row r="54" spans="2:5" ht="11.85" customHeight="1" x14ac:dyDescent="0.25">
      <c r="B54" s="23" t="s">
        <v>62</v>
      </c>
      <c r="C54" s="29">
        <f>C2*1000/C49</f>
        <v>7.8320294888157047</v>
      </c>
      <c r="D54" s="29"/>
      <c r="E54" s="52"/>
    </row>
    <row r="55" spans="2:5" ht="11.85" customHeight="1" x14ac:dyDescent="0.25">
      <c r="C55" s="29"/>
      <c r="D55" s="29"/>
      <c r="E55" s="52"/>
    </row>
    <row r="56" spans="2:5" ht="11.85" customHeight="1" thickBot="1" x14ac:dyDescent="0.3"/>
    <row r="57" spans="2:5" ht="16.5" x14ac:dyDescent="0.3">
      <c r="B57" s="53" t="s">
        <v>63</v>
      </c>
      <c r="C57" s="54">
        <f>+C3*1000-C58</f>
        <v>828385599.20441389</v>
      </c>
      <c r="D57" s="394">
        <f>C57/(C3*1000)</f>
        <v>0.82914706741428112</v>
      </c>
      <c r="E57" s="55">
        <f>+(C57+C58)/1000-C3</f>
        <v>0</v>
      </c>
    </row>
    <row r="58" spans="2:5" ht="16.5" x14ac:dyDescent="0.3">
      <c r="B58" s="56" t="s">
        <v>64</v>
      </c>
      <c r="C58" s="57">
        <f>'ESTIMARE I_E-19-20'!G17*(' Tarife PS 19-20'!K7+' Tarife PS 19-20'!L7)+'Estimare T1 18-19'!O44+'Estimare T1 18-19'!P44</f>
        <v>170696025.4677425</v>
      </c>
      <c r="D58" s="394">
        <f>C58/(C3*1000)</f>
        <v>0.17085293258571896</v>
      </c>
      <c r="E58" s="58"/>
    </row>
    <row r="59" spans="2:5" ht="16.5" x14ac:dyDescent="0.3">
      <c r="B59" s="56" t="s">
        <v>65</v>
      </c>
      <c r="C59" s="57">
        <f>+C48*1000-C60</f>
        <v>269050509.76377845</v>
      </c>
      <c r="D59" s="29">
        <f>C59/(C48*1000)</f>
        <v>0.80789347872972661</v>
      </c>
    </row>
    <row r="60" spans="2:5" ht="16.5" x14ac:dyDescent="0.3">
      <c r="B60" s="56" t="s">
        <v>66</v>
      </c>
      <c r="C60" s="57">
        <f>('Multiplicatori 19-20-TAR'!C32+'Multiplicatori 19-20-TAR'!D32)*' Tarife PS 19-20'!C51</f>
        <v>63976698.460273616</v>
      </c>
      <c r="D60" s="29">
        <f>C60/(C48*1000)</f>
        <v>0.19210652127027336</v>
      </c>
    </row>
    <row r="61" spans="2:5" ht="16.5" x14ac:dyDescent="0.3">
      <c r="B61" s="56" t="s">
        <v>67</v>
      </c>
      <c r="C61" s="59">
        <f>+C57/(G43+H43-'ESTIMARE I_E-19-20'!G17*2*8760-'Estimare T1 18-19'!L44*2)</f>
        <v>1.9734828904462183</v>
      </c>
    </row>
    <row r="62" spans="2:5" ht="16.5" x14ac:dyDescent="0.3">
      <c r="B62" s="56" t="s">
        <v>68</v>
      </c>
      <c r="C62" s="59">
        <f>+C58/('ESTIMARE I_E-19-20'!G17*2*8760+'Estimare T1 18-19'!L44*2)</f>
        <v>2.1374987566043728</v>
      </c>
      <c r="E62" s="24">
        <f>(G43+H43-'ESTIMARE I_E-19-20'!G17*2*8760-'Estimare T1 18-19'!L44*2)</f>
        <v>419758186.51111293</v>
      </c>
    </row>
    <row r="63" spans="2:5" ht="16.5" x14ac:dyDescent="0.3">
      <c r="B63" s="56" t="s">
        <v>69</v>
      </c>
      <c r="C63" s="59">
        <f>+C59/(C49-'Multiplicatori 19-20-TAR'!C32-'Multiplicatori 19-20-TAR'!D32)</f>
        <v>1.9580073722039262</v>
      </c>
      <c r="E63" s="24">
        <f>('ESTIMARE I_E-19-20'!G17*2*8760+'Estimare T1 18-19'!L44*2)</f>
        <v>79857836.146258131</v>
      </c>
    </row>
    <row r="64" spans="2:5" ht="17.25" thickBot="1" x14ac:dyDescent="0.35">
      <c r="B64" s="60" t="s">
        <v>70</v>
      </c>
      <c r="C64" s="61">
        <f>+C60/('Multiplicatori 19-20-TAR'!C32+'Multiplicatori 19-20-TAR'!D32)</f>
        <v>1.9580073722039262</v>
      </c>
    </row>
    <row r="65" spans="2:3" ht="17.25" thickBot="1" x14ac:dyDescent="0.35">
      <c r="B65" s="62"/>
      <c r="C65" s="62"/>
    </row>
    <row r="66" spans="2:3" ht="16.5" x14ac:dyDescent="0.3">
      <c r="B66" s="63" t="s">
        <v>71</v>
      </c>
      <c r="C66" s="64">
        <f>2*ABS(C61-C62)/((C61+C62))</f>
        <v>7.9794015269237281E-2</v>
      </c>
    </row>
    <row r="67" spans="2:3" ht="17.25" thickBot="1" x14ac:dyDescent="0.35">
      <c r="B67" s="65" t="s">
        <v>72</v>
      </c>
      <c r="C67" s="66">
        <f>2*(C63-C64)/(C63+C64)</f>
        <v>0</v>
      </c>
    </row>
    <row r="68" spans="2:3" ht="13.5" x14ac:dyDescent="0.25"/>
  </sheetData>
  <mergeCells count="5">
    <mergeCell ref="M6:N6"/>
    <mergeCell ref="E6:F6"/>
    <mergeCell ref="G6:H6"/>
    <mergeCell ref="I6:J6"/>
    <mergeCell ref="K6:L6"/>
  </mergeCells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X55"/>
  <sheetViews>
    <sheetView topLeftCell="A13" zoomScale="110" zoomScaleNormal="110" workbookViewId="0">
      <selection activeCell="C7" sqref="C7:F42"/>
    </sheetView>
  </sheetViews>
  <sheetFormatPr defaultColWidth="9" defaultRowHeight="11.85" customHeight="1" x14ac:dyDescent="0.25"/>
  <cols>
    <col min="1" max="1" width="9" style="23"/>
    <col min="2" max="2" width="44.28515625" style="23" customWidth="1"/>
    <col min="3" max="3" width="14" style="24" bestFit="1" customWidth="1"/>
    <col min="4" max="24" width="11.140625" style="24" customWidth="1"/>
    <col min="25" max="255" width="9" style="23"/>
    <col min="256" max="256" width="35.28515625" style="23" customWidth="1"/>
    <col min="257" max="280" width="11.140625" style="23" customWidth="1"/>
    <col min="281" max="511" width="9" style="23"/>
    <col min="512" max="512" width="35.28515625" style="23" customWidth="1"/>
    <col min="513" max="536" width="11.140625" style="23" customWidth="1"/>
    <col min="537" max="767" width="9" style="23"/>
    <col min="768" max="768" width="35.28515625" style="23" customWidth="1"/>
    <col min="769" max="792" width="11.140625" style="23" customWidth="1"/>
    <col min="793" max="1023" width="9" style="23"/>
    <col min="1024" max="1024" width="35.28515625" style="23" customWidth="1"/>
    <col min="1025" max="1048" width="11.140625" style="23" customWidth="1"/>
    <col min="1049" max="1279" width="9" style="23"/>
    <col min="1280" max="1280" width="35.28515625" style="23" customWidth="1"/>
    <col min="1281" max="1304" width="11.140625" style="23" customWidth="1"/>
    <col min="1305" max="1535" width="9" style="23"/>
    <col min="1536" max="1536" width="35.28515625" style="23" customWidth="1"/>
    <col min="1537" max="1560" width="11.140625" style="23" customWidth="1"/>
    <col min="1561" max="1791" width="9" style="23"/>
    <col min="1792" max="1792" width="35.28515625" style="23" customWidth="1"/>
    <col min="1793" max="1816" width="11.140625" style="23" customWidth="1"/>
    <col min="1817" max="2047" width="9" style="23"/>
    <col min="2048" max="2048" width="35.28515625" style="23" customWidth="1"/>
    <col min="2049" max="2072" width="11.140625" style="23" customWidth="1"/>
    <col min="2073" max="2303" width="9" style="23"/>
    <col min="2304" max="2304" width="35.28515625" style="23" customWidth="1"/>
    <col min="2305" max="2328" width="11.140625" style="23" customWidth="1"/>
    <col min="2329" max="2559" width="9" style="23"/>
    <col min="2560" max="2560" width="35.28515625" style="23" customWidth="1"/>
    <col min="2561" max="2584" width="11.140625" style="23" customWidth="1"/>
    <col min="2585" max="2815" width="9" style="23"/>
    <col min="2816" max="2816" width="35.28515625" style="23" customWidth="1"/>
    <col min="2817" max="2840" width="11.140625" style="23" customWidth="1"/>
    <col min="2841" max="3071" width="9" style="23"/>
    <col min="3072" max="3072" width="35.28515625" style="23" customWidth="1"/>
    <col min="3073" max="3096" width="11.140625" style="23" customWidth="1"/>
    <col min="3097" max="3327" width="9" style="23"/>
    <col min="3328" max="3328" width="35.28515625" style="23" customWidth="1"/>
    <col min="3329" max="3352" width="11.140625" style="23" customWidth="1"/>
    <col min="3353" max="3583" width="9" style="23"/>
    <col min="3584" max="3584" width="35.28515625" style="23" customWidth="1"/>
    <col min="3585" max="3608" width="11.140625" style="23" customWidth="1"/>
    <col min="3609" max="3839" width="9" style="23"/>
    <col min="3840" max="3840" width="35.28515625" style="23" customWidth="1"/>
    <col min="3841" max="3864" width="11.140625" style="23" customWidth="1"/>
    <col min="3865" max="4095" width="9" style="23"/>
    <col min="4096" max="4096" width="35.28515625" style="23" customWidth="1"/>
    <col min="4097" max="4120" width="11.140625" style="23" customWidth="1"/>
    <col min="4121" max="4351" width="9" style="23"/>
    <col min="4352" max="4352" width="35.28515625" style="23" customWidth="1"/>
    <col min="4353" max="4376" width="11.140625" style="23" customWidth="1"/>
    <col min="4377" max="4607" width="9" style="23"/>
    <col min="4608" max="4608" width="35.28515625" style="23" customWidth="1"/>
    <col min="4609" max="4632" width="11.140625" style="23" customWidth="1"/>
    <col min="4633" max="4863" width="9" style="23"/>
    <col min="4864" max="4864" width="35.28515625" style="23" customWidth="1"/>
    <col min="4865" max="4888" width="11.140625" style="23" customWidth="1"/>
    <col min="4889" max="5119" width="9" style="23"/>
    <col min="5120" max="5120" width="35.28515625" style="23" customWidth="1"/>
    <col min="5121" max="5144" width="11.140625" style="23" customWidth="1"/>
    <col min="5145" max="5375" width="9" style="23"/>
    <col min="5376" max="5376" width="35.28515625" style="23" customWidth="1"/>
    <col min="5377" max="5400" width="11.140625" style="23" customWidth="1"/>
    <col min="5401" max="5631" width="9" style="23"/>
    <col min="5632" max="5632" width="35.28515625" style="23" customWidth="1"/>
    <col min="5633" max="5656" width="11.140625" style="23" customWidth="1"/>
    <col min="5657" max="5887" width="9" style="23"/>
    <col min="5888" max="5888" width="35.28515625" style="23" customWidth="1"/>
    <col min="5889" max="5912" width="11.140625" style="23" customWidth="1"/>
    <col min="5913" max="6143" width="9" style="23"/>
    <col min="6144" max="6144" width="35.28515625" style="23" customWidth="1"/>
    <col min="6145" max="6168" width="11.140625" style="23" customWidth="1"/>
    <col min="6169" max="6399" width="9" style="23"/>
    <col min="6400" max="6400" width="35.28515625" style="23" customWidth="1"/>
    <col min="6401" max="6424" width="11.140625" style="23" customWidth="1"/>
    <col min="6425" max="6655" width="9" style="23"/>
    <col min="6656" max="6656" width="35.28515625" style="23" customWidth="1"/>
    <col min="6657" max="6680" width="11.140625" style="23" customWidth="1"/>
    <col min="6681" max="6911" width="9" style="23"/>
    <col min="6912" max="6912" width="35.28515625" style="23" customWidth="1"/>
    <col min="6913" max="6936" width="11.140625" style="23" customWidth="1"/>
    <col min="6937" max="7167" width="9" style="23"/>
    <col min="7168" max="7168" width="35.28515625" style="23" customWidth="1"/>
    <col min="7169" max="7192" width="11.140625" style="23" customWidth="1"/>
    <col min="7193" max="7423" width="9" style="23"/>
    <col min="7424" max="7424" width="35.28515625" style="23" customWidth="1"/>
    <col min="7425" max="7448" width="11.140625" style="23" customWidth="1"/>
    <col min="7449" max="7679" width="9" style="23"/>
    <col min="7680" max="7680" width="35.28515625" style="23" customWidth="1"/>
    <col min="7681" max="7704" width="11.140625" style="23" customWidth="1"/>
    <col min="7705" max="7935" width="9" style="23"/>
    <col min="7936" max="7936" width="35.28515625" style="23" customWidth="1"/>
    <col min="7937" max="7960" width="11.140625" style="23" customWidth="1"/>
    <col min="7961" max="8191" width="9" style="23"/>
    <col min="8192" max="8192" width="35.28515625" style="23" customWidth="1"/>
    <col min="8193" max="8216" width="11.140625" style="23" customWidth="1"/>
    <col min="8217" max="8447" width="9" style="23"/>
    <col min="8448" max="8448" width="35.28515625" style="23" customWidth="1"/>
    <col min="8449" max="8472" width="11.140625" style="23" customWidth="1"/>
    <col min="8473" max="8703" width="9" style="23"/>
    <col min="8704" max="8704" width="35.28515625" style="23" customWidth="1"/>
    <col min="8705" max="8728" width="11.140625" style="23" customWidth="1"/>
    <col min="8729" max="8959" width="9" style="23"/>
    <col min="8960" max="8960" width="35.28515625" style="23" customWidth="1"/>
    <col min="8961" max="8984" width="11.140625" style="23" customWidth="1"/>
    <col min="8985" max="9215" width="9" style="23"/>
    <col min="9216" max="9216" width="35.28515625" style="23" customWidth="1"/>
    <col min="9217" max="9240" width="11.140625" style="23" customWidth="1"/>
    <col min="9241" max="9471" width="9" style="23"/>
    <col min="9472" max="9472" width="35.28515625" style="23" customWidth="1"/>
    <col min="9473" max="9496" width="11.140625" style="23" customWidth="1"/>
    <col min="9497" max="9727" width="9" style="23"/>
    <col min="9728" max="9728" width="35.28515625" style="23" customWidth="1"/>
    <col min="9729" max="9752" width="11.140625" style="23" customWidth="1"/>
    <col min="9753" max="9983" width="9" style="23"/>
    <col min="9984" max="9984" width="35.28515625" style="23" customWidth="1"/>
    <col min="9985" max="10008" width="11.140625" style="23" customWidth="1"/>
    <col min="10009" max="10239" width="9" style="23"/>
    <col min="10240" max="10240" width="35.28515625" style="23" customWidth="1"/>
    <col min="10241" max="10264" width="11.140625" style="23" customWidth="1"/>
    <col min="10265" max="10495" width="9" style="23"/>
    <col min="10496" max="10496" width="35.28515625" style="23" customWidth="1"/>
    <col min="10497" max="10520" width="11.140625" style="23" customWidth="1"/>
    <col min="10521" max="10751" width="9" style="23"/>
    <col min="10752" max="10752" width="35.28515625" style="23" customWidth="1"/>
    <col min="10753" max="10776" width="11.140625" style="23" customWidth="1"/>
    <col min="10777" max="11007" width="9" style="23"/>
    <col min="11008" max="11008" width="35.28515625" style="23" customWidth="1"/>
    <col min="11009" max="11032" width="11.140625" style="23" customWidth="1"/>
    <col min="11033" max="11263" width="9" style="23"/>
    <col min="11264" max="11264" width="35.28515625" style="23" customWidth="1"/>
    <col min="11265" max="11288" width="11.140625" style="23" customWidth="1"/>
    <col min="11289" max="11519" width="9" style="23"/>
    <col min="11520" max="11520" width="35.28515625" style="23" customWidth="1"/>
    <col min="11521" max="11544" width="11.140625" style="23" customWidth="1"/>
    <col min="11545" max="11775" width="9" style="23"/>
    <col min="11776" max="11776" width="35.28515625" style="23" customWidth="1"/>
    <col min="11777" max="11800" width="11.140625" style="23" customWidth="1"/>
    <col min="11801" max="12031" width="9" style="23"/>
    <col min="12032" max="12032" width="35.28515625" style="23" customWidth="1"/>
    <col min="12033" max="12056" width="11.140625" style="23" customWidth="1"/>
    <col min="12057" max="12287" width="9" style="23"/>
    <col min="12288" max="12288" width="35.28515625" style="23" customWidth="1"/>
    <col min="12289" max="12312" width="11.140625" style="23" customWidth="1"/>
    <col min="12313" max="12543" width="9" style="23"/>
    <col min="12544" max="12544" width="35.28515625" style="23" customWidth="1"/>
    <col min="12545" max="12568" width="11.140625" style="23" customWidth="1"/>
    <col min="12569" max="12799" width="9" style="23"/>
    <col min="12800" max="12800" width="35.28515625" style="23" customWidth="1"/>
    <col min="12801" max="12824" width="11.140625" style="23" customWidth="1"/>
    <col min="12825" max="13055" width="9" style="23"/>
    <col min="13056" max="13056" width="35.28515625" style="23" customWidth="1"/>
    <col min="13057" max="13080" width="11.140625" style="23" customWidth="1"/>
    <col min="13081" max="13311" width="9" style="23"/>
    <col min="13312" max="13312" width="35.28515625" style="23" customWidth="1"/>
    <col min="13313" max="13336" width="11.140625" style="23" customWidth="1"/>
    <col min="13337" max="13567" width="9" style="23"/>
    <col min="13568" max="13568" width="35.28515625" style="23" customWidth="1"/>
    <col min="13569" max="13592" width="11.140625" style="23" customWidth="1"/>
    <col min="13593" max="13823" width="9" style="23"/>
    <col min="13824" max="13824" width="35.28515625" style="23" customWidth="1"/>
    <col min="13825" max="13848" width="11.140625" style="23" customWidth="1"/>
    <col min="13849" max="14079" width="9" style="23"/>
    <col min="14080" max="14080" width="35.28515625" style="23" customWidth="1"/>
    <col min="14081" max="14104" width="11.140625" style="23" customWidth="1"/>
    <col min="14105" max="14335" width="9" style="23"/>
    <col min="14336" max="14336" width="35.28515625" style="23" customWidth="1"/>
    <col min="14337" max="14360" width="11.140625" style="23" customWidth="1"/>
    <col min="14361" max="14591" width="9" style="23"/>
    <col min="14592" max="14592" width="35.28515625" style="23" customWidth="1"/>
    <col min="14593" max="14616" width="11.140625" style="23" customWidth="1"/>
    <col min="14617" max="14847" width="9" style="23"/>
    <col min="14848" max="14848" width="35.28515625" style="23" customWidth="1"/>
    <col min="14849" max="14872" width="11.140625" style="23" customWidth="1"/>
    <col min="14873" max="15103" width="9" style="23"/>
    <col min="15104" max="15104" width="35.28515625" style="23" customWidth="1"/>
    <col min="15105" max="15128" width="11.140625" style="23" customWidth="1"/>
    <col min="15129" max="15359" width="9" style="23"/>
    <col min="15360" max="15360" width="35.28515625" style="23" customWidth="1"/>
    <col min="15361" max="15384" width="11.140625" style="23" customWidth="1"/>
    <col min="15385" max="15615" width="9" style="23"/>
    <col min="15616" max="15616" width="35.28515625" style="23" customWidth="1"/>
    <col min="15617" max="15640" width="11.140625" style="23" customWidth="1"/>
    <col min="15641" max="15871" width="9" style="23"/>
    <col min="15872" max="15872" width="35.28515625" style="23" customWidth="1"/>
    <col min="15873" max="15896" width="11.140625" style="23" customWidth="1"/>
    <col min="15897" max="16127" width="9" style="23"/>
    <col min="16128" max="16128" width="35.28515625" style="23" customWidth="1"/>
    <col min="16129" max="16152" width="11.140625" style="23" customWidth="1"/>
    <col min="16153" max="16384" width="9" style="23"/>
  </cols>
  <sheetData>
    <row r="2" spans="1:14" ht="11.85" customHeight="1" x14ac:dyDescent="0.25">
      <c r="B2" s="23" t="s">
        <v>250</v>
      </c>
      <c r="C2" s="24">
        <f>ipoteze!B10</f>
        <v>1487648.5857100312</v>
      </c>
    </row>
    <row r="3" spans="1:14" ht="11.85" customHeight="1" x14ac:dyDescent="0.25">
      <c r="B3" s="23" t="s">
        <v>31</v>
      </c>
      <c r="C3" s="25">
        <f>C2*D3</f>
        <v>1190118.8685680251</v>
      </c>
      <c r="D3" s="26">
        <v>0.8</v>
      </c>
      <c r="E3" s="27">
        <f>C3*C4</f>
        <v>595059.43428401253</v>
      </c>
      <c r="F3" s="27">
        <f>C3*C4</f>
        <v>595059.43428401253</v>
      </c>
      <c r="G3" s="28"/>
      <c r="H3" s="28"/>
    </row>
    <row r="4" spans="1:14" ht="12" customHeight="1" thickBot="1" x14ac:dyDescent="0.3">
      <c r="B4" s="23" t="s">
        <v>32</v>
      </c>
      <c r="C4" s="29">
        <v>0.5</v>
      </c>
    </row>
    <row r="5" spans="1:14" ht="23.85" customHeight="1" thickTop="1" x14ac:dyDescent="0.25">
      <c r="B5" s="30"/>
      <c r="C5" s="31"/>
      <c r="D5" s="31"/>
      <c r="E5" s="32" t="s">
        <v>33</v>
      </c>
      <c r="F5" s="32" t="s">
        <v>34</v>
      </c>
      <c r="G5" s="32" t="s">
        <v>33</v>
      </c>
      <c r="H5" s="32" t="s">
        <v>34</v>
      </c>
      <c r="I5" s="32" t="s">
        <v>33</v>
      </c>
      <c r="J5" s="32" t="s">
        <v>34</v>
      </c>
      <c r="K5" s="32" t="s">
        <v>33</v>
      </c>
      <c r="L5" s="32" t="s">
        <v>34</v>
      </c>
      <c r="M5" s="32" t="s">
        <v>33</v>
      </c>
      <c r="N5" s="33" t="s">
        <v>34</v>
      </c>
    </row>
    <row r="6" spans="1:14" ht="11.85" customHeight="1" x14ac:dyDescent="0.25">
      <c r="B6" s="34" t="s">
        <v>35</v>
      </c>
      <c r="C6" s="35" t="s">
        <v>36</v>
      </c>
      <c r="D6" s="35" t="s">
        <v>37</v>
      </c>
      <c r="E6" s="472" t="s">
        <v>38</v>
      </c>
      <c r="F6" s="474"/>
      <c r="G6" s="472" t="s">
        <v>39</v>
      </c>
      <c r="H6" s="474"/>
      <c r="I6" s="472" t="s">
        <v>40</v>
      </c>
      <c r="J6" s="474"/>
      <c r="K6" s="472" t="s">
        <v>41</v>
      </c>
      <c r="L6" s="474"/>
      <c r="M6" s="472" t="s">
        <v>42</v>
      </c>
      <c r="N6" s="473"/>
    </row>
    <row r="7" spans="1:14" ht="11.85" customHeight="1" x14ac:dyDescent="0.25">
      <c r="B7" s="36" t="s">
        <v>43</v>
      </c>
      <c r="C7" s="37">
        <v>8760</v>
      </c>
      <c r="D7" s="27"/>
      <c r="E7" s="27">
        <f>'ESTIMARE I_E-20-21'!G5+'Estimare T1 18-19'!G9-'ESTIMARE I_E-20-21'!G6</f>
        <v>20818.451384543368</v>
      </c>
      <c r="F7" s="27">
        <f>'ESTIMARE I_E-20-21'!G12+'Estimare T1 18-19'!G9-'ESTIMARE I_E-20-21'!G15</f>
        <v>34426.047080642587</v>
      </c>
      <c r="G7" s="27">
        <f>+E7*C7</f>
        <v>182369634.12859991</v>
      </c>
      <c r="H7" s="27">
        <f>+F7*C7</f>
        <v>301572172.42642909</v>
      </c>
      <c r="I7" s="27">
        <f>C7*E7</f>
        <v>182369634.12859991</v>
      </c>
      <c r="J7" s="27">
        <f>C7*F7</f>
        <v>301572172.42642909</v>
      </c>
      <c r="K7" s="38">
        <f>E3/I43*1000</f>
        <v>2.5866684558135722</v>
      </c>
      <c r="L7" s="38">
        <f>F3/J43*1000</f>
        <v>1.8306003888651485</v>
      </c>
      <c r="M7" s="27">
        <f>I7*K7</f>
        <v>471729779.89871168</v>
      </c>
      <c r="N7" s="39">
        <f>J7*L7</f>
        <v>552058136.11472869</v>
      </c>
    </row>
    <row r="8" spans="1:14" ht="11.85" customHeight="1" x14ac:dyDescent="0.25">
      <c r="B8" s="71" t="s">
        <v>44</v>
      </c>
      <c r="C8" s="37">
        <v>8760</v>
      </c>
      <c r="D8" s="38">
        <v>0.5</v>
      </c>
      <c r="E8" s="27">
        <f>'ESTIMARE I_E-20-21'!G6</f>
        <v>936.06885483999565</v>
      </c>
      <c r="F8" s="27"/>
      <c r="G8" s="27">
        <f>+E8*C8</f>
        <v>8199963.1683983617</v>
      </c>
      <c r="H8" s="27">
        <f t="shared" ref="H8:H42" si="0">+F8*C8</f>
        <v>0</v>
      </c>
      <c r="I8" s="27">
        <f>C8*E8*D8</f>
        <v>4099981.5841991808</v>
      </c>
      <c r="J8" s="27"/>
      <c r="K8" s="38">
        <f t="shared" ref="K8" si="1">$K$7*D8</f>
        <v>1.2933342279067861</v>
      </c>
      <c r="L8" s="38"/>
      <c r="M8" s="27">
        <f t="shared" ref="M8" si="2">E8*$C8*K8</f>
        <v>10605293.033264579</v>
      </c>
      <c r="N8" s="39">
        <f>J8*L8</f>
        <v>0</v>
      </c>
    </row>
    <row r="9" spans="1:14" ht="11.85" customHeight="1" x14ac:dyDescent="0.25">
      <c r="B9" s="71" t="s">
        <v>45</v>
      </c>
      <c r="C9" s="37">
        <v>8760</v>
      </c>
      <c r="D9" s="38">
        <v>0.5</v>
      </c>
      <c r="E9" s="27"/>
      <c r="F9" s="27">
        <f>'ESTIMARE I_E-20-21'!G15</f>
        <v>1835.4968018394873</v>
      </c>
      <c r="G9" s="27">
        <f t="shared" ref="G9:G42" si="3">+E9*C9</f>
        <v>0</v>
      </c>
      <c r="H9" s="27">
        <f>+F9*C9</f>
        <v>16078951.984113909</v>
      </c>
      <c r="I9" s="27"/>
      <c r="J9" s="27">
        <f>C9*F9*D9</f>
        <v>8039475.9920569547</v>
      </c>
      <c r="K9" s="38"/>
      <c r="L9" s="38">
        <f t="shared" ref="L9:L42" si="4">$L$7*D9</f>
        <v>0.91530019443257427</v>
      </c>
      <c r="M9" s="27"/>
      <c r="N9" s="39">
        <f t="shared" ref="N9:N42" si="5">F9*$C9*L9</f>
        <v>14717067.877331488</v>
      </c>
    </row>
    <row r="10" spans="1:14" ht="11.85" customHeight="1" x14ac:dyDescent="0.25">
      <c r="B10" s="36" t="s">
        <v>46</v>
      </c>
      <c r="C10" s="37"/>
      <c r="D10" s="27"/>
      <c r="E10" s="27"/>
      <c r="F10" s="27"/>
      <c r="G10" s="27">
        <f t="shared" si="3"/>
        <v>0</v>
      </c>
      <c r="H10" s="27">
        <f t="shared" si="0"/>
        <v>0</v>
      </c>
      <c r="I10" s="27"/>
      <c r="J10" s="27"/>
      <c r="K10" s="38"/>
      <c r="L10" s="38"/>
      <c r="M10" s="27"/>
      <c r="N10" s="39"/>
    </row>
    <row r="11" spans="1:14" ht="11.85" customHeight="1" x14ac:dyDescent="0.25">
      <c r="A11" s="72"/>
      <c r="B11" s="36" t="s">
        <v>96</v>
      </c>
      <c r="C11" s="37">
        <v>2208</v>
      </c>
      <c r="D11" s="38">
        <f>'Multiplicatori 20-21-TAR'!C10</f>
        <v>1.1823493721390603</v>
      </c>
      <c r="E11" s="27">
        <f>'ESTIMARE I_E-20-21'!G24-'ESTIMARE I_E-20-21'!G25+'Estimare T1 18-19'!G12</f>
        <v>3356.1190086235451</v>
      </c>
      <c r="F11" s="27">
        <f>'ESTIMARE I_E-20-21'!G30+'Estimare T1 18-19'!G12</f>
        <v>1165.4274431909712</v>
      </c>
      <c r="G11" s="27">
        <f t="shared" si="3"/>
        <v>7410310.7710407879</v>
      </c>
      <c r="H11" s="27">
        <f t="shared" si="0"/>
        <v>2573263.7945656646</v>
      </c>
      <c r="I11" s="27">
        <f t="shared" ref="I11:J26" si="6">$C11*$D11*E11</f>
        <v>8761576.2874953914</v>
      </c>
      <c r="J11" s="27">
        <f t="shared" si="6"/>
        <v>3042496.8318528892</v>
      </c>
      <c r="K11" s="38">
        <f t="shared" ref="K11:K42" si="7">$K$7*D11</f>
        <v>3.0583458246630899</v>
      </c>
      <c r="L11" s="38">
        <f t="shared" si="4"/>
        <v>2.1644092204122281</v>
      </c>
      <c r="M11" s="27">
        <f t="shared" ref="M11:M42" si="8">E11*$C11*K11</f>
        <v>22663293.006068517</v>
      </c>
      <c r="N11" s="39">
        <f t="shared" si="5"/>
        <v>5569595.883510882</v>
      </c>
    </row>
    <row r="12" spans="1:14" ht="11.85" customHeight="1" x14ac:dyDescent="0.25">
      <c r="A12" s="72"/>
      <c r="B12" s="71" t="s">
        <v>97</v>
      </c>
      <c r="C12" s="37">
        <v>2208</v>
      </c>
      <c r="D12" s="38">
        <f>D11*0.5</f>
        <v>0.59117468606953016</v>
      </c>
      <c r="E12" s="27">
        <f>'ESTIMARE I_E-20-21'!G25</f>
        <v>12.707146666872832</v>
      </c>
      <c r="F12" s="27"/>
      <c r="G12" s="27">
        <f t="shared" si="3"/>
        <v>28057.379840455214</v>
      </c>
      <c r="H12" s="27">
        <f t="shared" si="0"/>
        <v>0</v>
      </c>
      <c r="I12" s="27">
        <f t="shared" si="6"/>
        <v>16586.812719114674</v>
      </c>
      <c r="J12" s="27">
        <f t="shared" si="6"/>
        <v>0</v>
      </c>
      <c r="K12" s="38">
        <f t="shared" si="7"/>
        <v>1.529172912331545</v>
      </c>
      <c r="L12" s="38">
        <f t="shared" si="4"/>
        <v>1.082204610206114</v>
      </c>
      <c r="M12" s="27">
        <f t="shared" si="8"/>
        <v>42904.585243021276</v>
      </c>
      <c r="N12" s="39">
        <f t="shared" si="5"/>
        <v>0</v>
      </c>
    </row>
    <row r="13" spans="1:14" ht="11.85" customHeight="1" x14ac:dyDescent="0.25">
      <c r="A13" s="72"/>
      <c r="B13" s="36" t="s">
        <v>98</v>
      </c>
      <c r="C13" s="37">
        <v>2160</v>
      </c>
      <c r="D13" s="38">
        <f>'Multiplicatori 20-21-TAR'!F10</f>
        <v>1.3317811793915235</v>
      </c>
      <c r="E13" s="27">
        <f>'ESTIMARE I_E-20-21'!G37-'ESTIMARE I_E-20-21'!G38+'Estimare T1 18-19'!G14</f>
        <v>3790.6050882259528</v>
      </c>
      <c r="F13" s="27">
        <f>'ESTIMARE I_E-20-21'!G43+'Estimare T1 18-19'!G14</f>
        <v>1748.4830818781622</v>
      </c>
      <c r="G13" s="27">
        <f t="shared" si="3"/>
        <v>8187706.9905680586</v>
      </c>
      <c r="H13" s="27">
        <f t="shared" si="0"/>
        <v>3776723.4568568305</v>
      </c>
      <c r="I13" s="27">
        <f t="shared" si="6"/>
        <v>10904234.07241095</v>
      </c>
      <c r="J13" s="27">
        <f t="shared" si="6"/>
        <v>5029769.2196084214</v>
      </c>
      <c r="K13" s="38">
        <f t="shared" si="7"/>
        <v>3.4448763667782503</v>
      </c>
      <c r="L13" s="38">
        <f t="shared" si="4"/>
        <v>2.4379591448774089</v>
      </c>
      <c r="M13" s="27">
        <f t="shared" si="8"/>
        <v>28205638.309912976</v>
      </c>
      <c r="N13" s="39">
        <f t="shared" si="5"/>
        <v>9207497.4893171303</v>
      </c>
    </row>
    <row r="14" spans="1:14" ht="11.85" customHeight="1" x14ac:dyDescent="0.25">
      <c r="A14" s="72"/>
      <c r="B14" s="71" t="s">
        <v>99</v>
      </c>
      <c r="C14" s="37">
        <v>2160</v>
      </c>
      <c r="D14" s="38">
        <f>D13*0.5</f>
        <v>0.66589058969576176</v>
      </c>
      <c r="E14" s="27">
        <f>'ESTIMARE I_E-20-21'!G38</f>
        <v>1171.8949117740472</v>
      </c>
      <c r="F14" s="27"/>
      <c r="G14" s="27">
        <f t="shared" si="3"/>
        <v>2531293.0094319419</v>
      </c>
      <c r="H14" s="27">
        <f t="shared" si="0"/>
        <v>0</v>
      </c>
      <c r="I14" s="27">
        <f t="shared" si="6"/>
        <v>1685564.1947433951</v>
      </c>
      <c r="J14" s="27">
        <f t="shared" si="6"/>
        <v>0</v>
      </c>
      <c r="K14" s="38">
        <f t="shared" si="7"/>
        <v>1.7224381833891251</v>
      </c>
      <c r="L14" s="38">
        <f t="shared" si="4"/>
        <v>1.2189795724387045</v>
      </c>
      <c r="M14" s="27">
        <f t="shared" si="8"/>
        <v>4359995.7327915458</v>
      </c>
      <c r="N14" s="39">
        <f t="shared" si="5"/>
        <v>0</v>
      </c>
    </row>
    <row r="15" spans="1:14" ht="11.85" customHeight="1" x14ac:dyDescent="0.25">
      <c r="A15" s="72"/>
      <c r="B15" s="36" t="s">
        <v>100</v>
      </c>
      <c r="C15" s="37">
        <v>2184</v>
      </c>
      <c r="D15" s="38">
        <f>'Multiplicatori 20-21-TAR'!I10</f>
        <v>0.71326464158891989</v>
      </c>
      <c r="E15" s="27">
        <f>'ESTIMARE I_E-20-21'!G50</f>
        <v>75.75</v>
      </c>
      <c r="F15" s="27">
        <f>'ESTIMARE I_E-20-21'!G55</f>
        <v>60.779242672379219</v>
      </c>
      <c r="G15" s="27">
        <f t="shared" si="3"/>
        <v>165438</v>
      </c>
      <c r="H15" s="27">
        <f t="shared" si="0"/>
        <v>132741.8659964762</v>
      </c>
      <c r="I15" s="27">
        <f t="shared" si="6"/>
        <v>118001.07577518772</v>
      </c>
      <c r="J15" s="27">
        <f t="shared" si="6"/>
        <v>94680.079473821039</v>
      </c>
      <c r="K15" s="38">
        <f t="shared" si="7"/>
        <v>1.8449791490452325</v>
      </c>
      <c r="L15" s="38">
        <f t="shared" si="4"/>
        <v>1.3057025302564376</v>
      </c>
      <c r="M15" s="27">
        <f t="shared" si="8"/>
        <v>305229.66045974515</v>
      </c>
      <c r="N15" s="39">
        <f t="shared" si="5"/>
        <v>173321.39030255994</v>
      </c>
    </row>
    <row r="16" spans="1:14" ht="11.85" customHeight="1" x14ac:dyDescent="0.25">
      <c r="A16" s="72"/>
      <c r="B16" s="71" t="s">
        <v>101</v>
      </c>
      <c r="C16" s="37">
        <v>2184</v>
      </c>
      <c r="D16" s="38">
        <f>D15*0.5</f>
        <v>0.35663232079445994</v>
      </c>
      <c r="E16" s="27"/>
      <c r="F16" s="27"/>
      <c r="G16" s="27">
        <f t="shared" si="3"/>
        <v>0</v>
      </c>
      <c r="H16" s="27">
        <f t="shared" si="0"/>
        <v>0</v>
      </c>
      <c r="I16" s="27">
        <f t="shared" si="6"/>
        <v>0</v>
      </c>
      <c r="J16" s="27">
        <f t="shared" si="6"/>
        <v>0</v>
      </c>
      <c r="K16" s="38">
        <f t="shared" si="7"/>
        <v>0.92248957452261626</v>
      </c>
      <c r="L16" s="38">
        <f t="shared" si="4"/>
        <v>0.65285126512821878</v>
      </c>
      <c r="M16" s="27">
        <f t="shared" si="8"/>
        <v>0</v>
      </c>
      <c r="N16" s="39">
        <f t="shared" si="5"/>
        <v>0</v>
      </c>
    </row>
    <row r="17" spans="1:14" ht="11.85" customHeight="1" x14ac:dyDescent="0.25">
      <c r="A17" s="72"/>
      <c r="B17" s="36" t="s">
        <v>102</v>
      </c>
      <c r="C17" s="37">
        <v>2208</v>
      </c>
      <c r="D17" s="38">
        <f>'Multiplicatori 20-21-TAR'!L10</f>
        <v>1.9726048068804964</v>
      </c>
      <c r="E17" s="27">
        <f>'ESTIMARE I_E-20-21'!G63</f>
        <v>42.083333333333336</v>
      </c>
      <c r="F17" s="27">
        <f>'ESTIMARE I_E-20-21'!G68</f>
        <v>56.124221138268815</v>
      </c>
      <c r="G17" s="27">
        <f t="shared" si="3"/>
        <v>92920</v>
      </c>
      <c r="H17" s="27">
        <f t="shared" si="0"/>
        <v>123922.28027329754</v>
      </c>
      <c r="I17" s="27">
        <f t="shared" si="6"/>
        <v>183294.43865533572</v>
      </c>
      <c r="J17" s="27">
        <f t="shared" si="6"/>
        <v>244449.68574669884</v>
      </c>
      <c r="K17" s="38">
        <f t="shared" si="7"/>
        <v>5.1024746297440036</v>
      </c>
      <c r="L17" s="38">
        <f t="shared" si="4"/>
        <v>3.6110511265526979</v>
      </c>
      <c r="M17" s="27">
        <f t="shared" si="8"/>
        <v>474121.94259581278</v>
      </c>
      <c r="N17" s="39">
        <f t="shared" si="5"/>
        <v>447489.68978587026</v>
      </c>
    </row>
    <row r="18" spans="1:14" ht="11.85" customHeight="1" x14ac:dyDescent="0.25">
      <c r="A18" s="72"/>
      <c r="B18" s="71" t="s">
        <v>103</v>
      </c>
      <c r="C18" s="37">
        <v>2208</v>
      </c>
      <c r="D18" s="38">
        <f>D17*0.5</f>
        <v>0.98630240344024822</v>
      </c>
      <c r="E18" s="27"/>
      <c r="F18" s="27"/>
      <c r="G18" s="27">
        <f t="shared" si="3"/>
        <v>0</v>
      </c>
      <c r="H18" s="27">
        <f t="shared" si="0"/>
        <v>0</v>
      </c>
      <c r="I18" s="27">
        <f t="shared" si="6"/>
        <v>0</v>
      </c>
      <c r="J18" s="27">
        <f t="shared" si="6"/>
        <v>0</v>
      </c>
      <c r="K18" s="38">
        <f t="shared" si="7"/>
        <v>2.5512373148720018</v>
      </c>
      <c r="L18" s="38">
        <f t="shared" si="4"/>
        <v>1.8055255632763489</v>
      </c>
      <c r="M18" s="27">
        <f t="shared" si="8"/>
        <v>0</v>
      </c>
      <c r="N18" s="39">
        <f t="shared" si="5"/>
        <v>0</v>
      </c>
    </row>
    <row r="19" spans="1:14" ht="11.85" customHeight="1" x14ac:dyDescent="0.25">
      <c r="B19" s="36" t="s">
        <v>53</v>
      </c>
      <c r="C19" s="37">
        <v>744</v>
      </c>
      <c r="D19" s="38">
        <f>'Multiplicatori 20-21-TAR'!C11</f>
        <v>1.0570691761984572</v>
      </c>
      <c r="E19" s="27">
        <f>'ESTIMARE I_E-20-21'!G80+'Estimare T1 18-19'!G21</f>
        <v>75</v>
      </c>
      <c r="F19" s="27"/>
      <c r="G19" s="27">
        <f t="shared" si="3"/>
        <v>55800</v>
      </c>
      <c r="H19" s="27">
        <f t="shared" si="0"/>
        <v>0</v>
      </c>
      <c r="I19" s="27">
        <f t="shared" si="6"/>
        <v>58984.46003187391</v>
      </c>
      <c r="J19" s="27">
        <f t="shared" si="6"/>
        <v>0</v>
      </c>
      <c r="K19" s="38">
        <f t="shared" si="7"/>
        <v>2.7342874936853883</v>
      </c>
      <c r="L19" s="38">
        <f t="shared" si="4"/>
        <v>1.9350712450062579</v>
      </c>
      <c r="M19" s="27">
        <f t="shared" si="8"/>
        <v>152573.24214764466</v>
      </c>
      <c r="N19" s="39">
        <f t="shared" si="5"/>
        <v>0</v>
      </c>
    </row>
    <row r="20" spans="1:14" ht="11.85" customHeight="1" x14ac:dyDescent="0.25">
      <c r="B20" s="71" t="s">
        <v>104</v>
      </c>
      <c r="C20" s="37">
        <f>+C19</f>
        <v>744</v>
      </c>
      <c r="D20" s="38">
        <f>D19*0.5</f>
        <v>0.5285345880992286</v>
      </c>
      <c r="E20" s="27"/>
      <c r="F20" s="27"/>
      <c r="G20" s="27">
        <f t="shared" si="3"/>
        <v>0</v>
      </c>
      <c r="H20" s="27">
        <f t="shared" si="0"/>
        <v>0</v>
      </c>
      <c r="I20" s="27">
        <f t="shared" si="6"/>
        <v>0</v>
      </c>
      <c r="J20" s="27">
        <f t="shared" si="6"/>
        <v>0</v>
      </c>
      <c r="K20" s="38">
        <f t="shared" si="7"/>
        <v>1.3671437468426941</v>
      </c>
      <c r="L20" s="38">
        <f t="shared" si="4"/>
        <v>0.96753562250312897</v>
      </c>
      <c r="M20" s="27">
        <f t="shared" si="8"/>
        <v>0</v>
      </c>
      <c r="N20" s="39">
        <f t="shared" si="5"/>
        <v>0</v>
      </c>
    </row>
    <row r="21" spans="1:14" ht="11.85" customHeight="1" x14ac:dyDescent="0.25">
      <c r="B21" s="36" t="s">
        <v>54</v>
      </c>
      <c r="C21" s="37">
        <v>720</v>
      </c>
      <c r="D21" s="38">
        <f>'Multiplicatori 20-21-TAR'!D11</f>
        <v>1.2255517094886761</v>
      </c>
      <c r="E21" s="27">
        <f>'ESTIMARE I_E-20-21'!G93-'ESTIMARE I_E-20-21'!G94+'Estimare T1 18-19'!G23</f>
        <v>2330.7881151920637</v>
      </c>
      <c r="F21" s="27">
        <f>'ESTIMARE I_E-20-21'!G99+'Estimare T1 18-19'!G23</f>
        <v>915.01868701309786</v>
      </c>
      <c r="G21" s="27">
        <f t="shared" si="3"/>
        <v>1678167.4429382859</v>
      </c>
      <c r="H21" s="27">
        <f t="shared" si="0"/>
        <v>658813.45464943047</v>
      </c>
      <c r="I21" s="27">
        <f t="shared" si="6"/>
        <v>2056680.9785012566</v>
      </c>
      <c r="J21" s="27">
        <f t="shared" si="6"/>
        <v>807409.95557974989</v>
      </c>
      <c r="K21" s="38">
        <f t="shared" si="7"/>
        <v>3.1700959479027575</v>
      </c>
      <c r="L21" s="38">
        <f t="shared" si="4"/>
        <v>2.2434954359643178</v>
      </c>
      <c r="M21" s="27">
        <f t="shared" si="8"/>
        <v>5319951.8107609916</v>
      </c>
      <c r="N21" s="39">
        <f t="shared" si="5"/>
        <v>1478044.9786578822</v>
      </c>
    </row>
    <row r="22" spans="1:14" ht="11.85" customHeight="1" x14ac:dyDescent="0.25">
      <c r="B22" s="71" t="s">
        <v>105</v>
      </c>
      <c r="C22" s="37">
        <f>+C21</f>
        <v>720</v>
      </c>
      <c r="D22" s="38">
        <f>D21*0.5</f>
        <v>0.61277585474433804</v>
      </c>
      <c r="E22" s="27">
        <f>'ESTIMARE I_E-20-21'!G94</f>
        <v>252.54521814126952</v>
      </c>
      <c r="F22" s="27"/>
      <c r="G22" s="27">
        <f t="shared" si="3"/>
        <v>181832.55706171406</v>
      </c>
      <c r="H22" s="27">
        <f t="shared" si="0"/>
        <v>0</v>
      </c>
      <c r="I22" s="27">
        <f t="shared" si="6"/>
        <v>111422.60057384045</v>
      </c>
      <c r="J22" s="27">
        <f t="shared" si="6"/>
        <v>0</v>
      </c>
      <c r="K22" s="38">
        <f t="shared" si="7"/>
        <v>1.5850479739513788</v>
      </c>
      <c r="L22" s="38">
        <f t="shared" si="4"/>
        <v>1.1217477179821589</v>
      </c>
      <c r="M22" s="27">
        <f t="shared" si="8"/>
        <v>288213.32616906834</v>
      </c>
      <c r="N22" s="39">
        <f t="shared" si="5"/>
        <v>0</v>
      </c>
    </row>
    <row r="23" spans="1:14" ht="11.85" customHeight="1" x14ac:dyDescent="0.25">
      <c r="B23" s="36" t="s">
        <v>55</v>
      </c>
      <c r="C23" s="37">
        <v>744</v>
      </c>
      <c r="D23" s="38">
        <f>'Multiplicatori 20-21-TAR'!E11</f>
        <v>1.8101269409480751</v>
      </c>
      <c r="E23" s="27">
        <f>'ESTIMARE I_E-20-21'!G106-'ESTIMARE I_E-20-21'!G107+'Estimare T1 18-19'!G25</f>
        <v>3967.7932905663988</v>
      </c>
      <c r="F23" s="27">
        <f>'ESTIMARE I_E-20-21'!G112+'Estimare T1 18-19'!G25</f>
        <v>1469.1558866669909</v>
      </c>
      <c r="G23" s="27">
        <f t="shared" si="3"/>
        <v>2952038.2081814008</v>
      </c>
      <c r="H23" s="27">
        <f t="shared" si="0"/>
        <v>1093051.9796802413</v>
      </c>
      <c r="I23" s="27">
        <f t="shared" si="6"/>
        <v>5343563.8913372355</v>
      </c>
      <c r="J23" s="27">
        <f t="shared" si="6"/>
        <v>1978562.8362758325</v>
      </c>
      <c r="K23" s="38">
        <f t="shared" si="7"/>
        <v>4.682198259168703</v>
      </c>
      <c r="L23" s="38">
        <f t="shared" si="4"/>
        <v>3.3136190819948279</v>
      </c>
      <c r="M23" s="27">
        <f t="shared" si="8"/>
        <v>13822028.159346452</v>
      </c>
      <c r="N23" s="39">
        <f t="shared" si="5"/>
        <v>3621957.8974806704</v>
      </c>
    </row>
    <row r="24" spans="1:14" ht="11.85" customHeight="1" x14ac:dyDescent="0.25">
      <c r="B24" s="71" t="s">
        <v>106</v>
      </c>
      <c r="C24" s="37">
        <f>+C23</f>
        <v>744</v>
      </c>
      <c r="D24" s="38">
        <f>D23*0.5</f>
        <v>0.90506347047403757</v>
      </c>
      <c r="E24" s="27">
        <f>'ESTIMARE I_E-20-21'!G107</f>
        <v>1615.5400427669347</v>
      </c>
      <c r="F24" s="27"/>
      <c r="G24" s="27">
        <f t="shared" si="3"/>
        <v>1201961.7918185994</v>
      </c>
      <c r="H24" s="27">
        <f t="shared" si="0"/>
        <v>0</v>
      </c>
      <c r="I24" s="27">
        <f t="shared" si="6"/>
        <v>1087851.7106805341</v>
      </c>
      <c r="J24" s="27">
        <f t="shared" si="6"/>
        <v>0</v>
      </c>
      <c r="K24" s="38">
        <f t="shared" si="7"/>
        <v>2.3410991295843515</v>
      </c>
      <c r="L24" s="38">
        <f t="shared" si="4"/>
        <v>1.656809540997414</v>
      </c>
      <c r="M24" s="27">
        <f t="shared" si="8"/>
        <v>2813911.7046201709</v>
      </c>
      <c r="N24" s="39">
        <f t="shared" si="5"/>
        <v>0</v>
      </c>
    </row>
    <row r="25" spans="1:14" ht="11.85" customHeight="1" x14ac:dyDescent="0.25">
      <c r="B25" s="36" t="s">
        <v>56</v>
      </c>
      <c r="C25" s="37">
        <v>744</v>
      </c>
      <c r="D25" s="38">
        <f>'Multiplicatori 20-21-TAR'!F11</f>
        <v>2.2563124637698579</v>
      </c>
      <c r="E25" s="27">
        <f>'ESTIMARE I_E-20-21'!G119-'ESTIMARE I_E-20-21'!G120+'Estimare T1 18-19'!G27</f>
        <v>4406.5867586263739</v>
      </c>
      <c r="F25" s="27">
        <f>'ESTIMARE I_E-20-21'!G125+'Estimare T1 18-19'!G27</f>
        <v>1625.6383271531261</v>
      </c>
      <c r="G25" s="27">
        <f t="shared" si="3"/>
        <v>3278500.5484180222</v>
      </c>
      <c r="H25" s="27">
        <f t="shared" si="0"/>
        <v>1209474.9154019258</v>
      </c>
      <c r="I25" s="27">
        <f t="shared" si="6"/>
        <v>7397321.6498718988</v>
      </c>
      <c r="J25" s="27">
        <f t="shared" si="6"/>
        <v>2728953.3262383598</v>
      </c>
      <c r="K25" s="38">
        <f t="shared" si="7"/>
        <v>5.8363322764924952</v>
      </c>
      <c r="L25" s="38">
        <f t="shared" si="4"/>
        <v>4.1304064735783834</v>
      </c>
      <c r="M25" s="27">
        <f t="shared" si="8"/>
        <v>19134418.569230448</v>
      </c>
      <c r="N25" s="39">
        <f t="shared" si="5"/>
        <v>4995623.020206782</v>
      </c>
    </row>
    <row r="26" spans="1:14" ht="11.85" customHeight="1" x14ac:dyDescent="0.25">
      <c r="B26" s="71" t="s">
        <v>107</v>
      </c>
      <c r="C26" s="37">
        <f>+C25</f>
        <v>744</v>
      </c>
      <c r="D26" s="38">
        <f>D25*0.5</f>
        <v>1.128156231884929</v>
      </c>
      <c r="E26" s="27">
        <f>'ESTIMARE I_E-20-21'!G120</f>
        <v>1655.9132413736259</v>
      </c>
      <c r="F26" s="27"/>
      <c r="G26" s="27">
        <f t="shared" si="3"/>
        <v>1231999.4515819775</v>
      </c>
      <c r="H26" s="27">
        <f t="shared" si="0"/>
        <v>0</v>
      </c>
      <c r="I26" s="27">
        <f t="shared" si="6"/>
        <v>1389887.8589810228</v>
      </c>
      <c r="J26" s="27">
        <f t="shared" si="6"/>
        <v>0</v>
      </c>
      <c r="K26" s="38">
        <f t="shared" si="7"/>
        <v>2.9181661382462476</v>
      </c>
      <c r="L26" s="38">
        <f t="shared" si="4"/>
        <v>2.0652032367891917</v>
      </c>
      <c r="M26" s="27">
        <f t="shared" si="8"/>
        <v>3595179.0819444745</v>
      </c>
      <c r="N26" s="39">
        <f t="shared" si="5"/>
        <v>0</v>
      </c>
    </row>
    <row r="27" spans="1:14" ht="11.85" customHeight="1" x14ac:dyDescent="0.25">
      <c r="B27" s="36" t="s">
        <v>57</v>
      </c>
      <c r="C27" s="37">
        <v>672</v>
      </c>
      <c r="D27" s="38">
        <f>'Multiplicatori 20-21-TAR'!G11</f>
        <v>1.2635685517939723</v>
      </c>
      <c r="E27" s="27">
        <f>'ESTIMARE I_E-20-21'!G132-'ESTIMARE I_E-20-21'!G133+'Estimare T1 18-19'!G29</f>
        <v>3574.3473635640817</v>
      </c>
      <c r="F27" s="27">
        <f>'ESTIMARE I_E-20-21'!G138+'Estimare T1 18-19'!G29</f>
        <v>710.68906476885638</v>
      </c>
      <c r="G27" s="27">
        <f t="shared" si="3"/>
        <v>2401961.428315063</v>
      </c>
      <c r="H27" s="27">
        <f t="shared" si="0"/>
        <v>477583.05152467149</v>
      </c>
      <c r="I27" s="27">
        <f t="shared" ref="I27:J42" si="9">$C27*$D27*E27</f>
        <v>3035042.923441045</v>
      </c>
      <c r="J27" s="27">
        <f t="shared" si="9"/>
        <v>603458.92477637518</v>
      </c>
      <c r="K27" s="38">
        <f t="shared" si="7"/>
        <v>3.2684329146835061</v>
      </c>
      <c r="L27" s="38">
        <f t="shared" si="4"/>
        <v>2.3130890822718184</v>
      </c>
      <c r="M27" s="27">
        <f t="shared" si="8"/>
        <v>7850649.7921051588</v>
      </c>
      <c r="N27" s="39">
        <f t="shared" si="5"/>
        <v>1104692.1423597769</v>
      </c>
    </row>
    <row r="28" spans="1:14" ht="11.85" customHeight="1" x14ac:dyDescent="0.25">
      <c r="B28" s="71" t="s">
        <v>108</v>
      </c>
      <c r="C28" s="37">
        <f>+C27</f>
        <v>672</v>
      </c>
      <c r="D28" s="38">
        <f>D27*0.5</f>
        <v>0.63178427589698616</v>
      </c>
      <c r="E28" s="27">
        <f>'ESTIMARE I_E-20-21'!G133</f>
        <v>446.48596976925182</v>
      </c>
      <c r="F28" s="27"/>
      <c r="G28" s="27">
        <f t="shared" si="3"/>
        <v>300038.57168493723</v>
      </c>
      <c r="H28" s="27">
        <f t="shared" si="0"/>
        <v>0</v>
      </c>
      <c r="I28" s="27">
        <f t="shared" si="9"/>
        <v>189559.65175313404</v>
      </c>
      <c r="J28" s="27">
        <f t="shared" si="9"/>
        <v>0</v>
      </c>
      <c r="K28" s="38">
        <f t="shared" si="7"/>
        <v>1.634216457341753</v>
      </c>
      <c r="L28" s="38">
        <f t="shared" si="4"/>
        <v>1.1565445411359092</v>
      </c>
      <c r="M28" s="27">
        <f t="shared" si="8"/>
        <v>490327.97168483771</v>
      </c>
      <c r="N28" s="39">
        <f t="shared" si="5"/>
        <v>0</v>
      </c>
    </row>
    <row r="29" spans="1:14" ht="11.85" customHeight="1" x14ac:dyDescent="0.25">
      <c r="B29" s="36" t="s">
        <v>58</v>
      </c>
      <c r="C29" s="37">
        <v>744</v>
      </c>
      <c r="D29" s="38">
        <f>'Multiplicatori 20-21-TAR'!H11</f>
        <v>1.090130759252981</v>
      </c>
      <c r="E29" s="27">
        <f>'ESTIMARE I_E-20-21'!G145+'Estimare T1 18-19'!G31</f>
        <v>208.33333333333331</v>
      </c>
      <c r="F29" s="27">
        <f>'ESTIMARE I_E-20-21'!G151+'Estimare T1 18-19'!G31</f>
        <v>166.66666666666666</v>
      </c>
      <c r="G29" s="27">
        <f t="shared" si="3"/>
        <v>155000</v>
      </c>
      <c r="H29" s="27">
        <f t="shared" si="0"/>
        <v>124000</v>
      </c>
      <c r="I29" s="27">
        <f t="shared" si="9"/>
        <v>168970.26768421204</v>
      </c>
      <c r="J29" s="27">
        <f t="shared" si="9"/>
        <v>135176.21414736964</v>
      </c>
      <c r="K29" s="38">
        <f t="shared" si="7"/>
        <v>2.8198068476717855</v>
      </c>
      <c r="L29" s="38">
        <f t="shared" si="4"/>
        <v>1.9955937918023665</v>
      </c>
      <c r="M29" s="27">
        <f t="shared" si="8"/>
        <v>437070.06138912676</v>
      </c>
      <c r="N29" s="39">
        <f t="shared" si="5"/>
        <v>247453.63018349346</v>
      </c>
    </row>
    <row r="30" spans="1:14" ht="11.85" customHeight="1" x14ac:dyDescent="0.25">
      <c r="B30" s="71" t="s">
        <v>109</v>
      </c>
      <c r="C30" s="37">
        <v>744</v>
      </c>
      <c r="D30" s="38">
        <f>D29*0.5</f>
        <v>0.54506537962649049</v>
      </c>
      <c r="E30" s="27"/>
      <c r="F30" s="27"/>
      <c r="G30" s="27">
        <f t="shared" si="3"/>
        <v>0</v>
      </c>
      <c r="H30" s="27">
        <f t="shared" si="0"/>
        <v>0</v>
      </c>
      <c r="I30" s="27">
        <f t="shared" si="9"/>
        <v>0</v>
      </c>
      <c r="J30" s="27">
        <f t="shared" si="9"/>
        <v>0</v>
      </c>
      <c r="K30" s="38">
        <f t="shared" si="7"/>
        <v>1.4099034238358927</v>
      </c>
      <c r="L30" s="38">
        <f t="shared" si="4"/>
        <v>0.99779689590118326</v>
      </c>
      <c r="M30" s="27">
        <f t="shared" si="8"/>
        <v>0</v>
      </c>
      <c r="N30" s="39">
        <f t="shared" si="5"/>
        <v>0</v>
      </c>
    </row>
    <row r="31" spans="1:14" ht="11.85" customHeight="1" x14ac:dyDescent="0.25">
      <c r="B31" s="36" t="s">
        <v>47</v>
      </c>
      <c r="C31" s="37">
        <v>720</v>
      </c>
      <c r="D31" s="38">
        <f>'Multiplicatori 20-21-TAR'!I11</f>
        <v>0.85604311677672784</v>
      </c>
      <c r="E31" s="27">
        <f>'ESTIMARE I_E-20-21'!G158+'Estimare T1 18-19'!G33</f>
        <v>375</v>
      </c>
      <c r="F31" s="27">
        <f>'ESTIMARE I_E-20-21'!G176+'Estimare T1 18-19'!G33</f>
        <v>333.33333333333331</v>
      </c>
      <c r="G31" s="27">
        <f t="shared" si="3"/>
        <v>270000</v>
      </c>
      <c r="H31" s="27">
        <f t="shared" si="0"/>
        <v>240000</v>
      </c>
      <c r="I31" s="27">
        <f t="shared" si="9"/>
        <v>231131.64152971652</v>
      </c>
      <c r="J31" s="27">
        <f t="shared" si="9"/>
        <v>205450.34802641466</v>
      </c>
      <c r="K31" s="38">
        <f t="shared" si="7"/>
        <v>2.2142997269826958</v>
      </c>
      <c r="L31" s="38">
        <f t="shared" si="4"/>
        <v>1.5670728624568118</v>
      </c>
      <c r="M31" s="27">
        <f t="shared" si="8"/>
        <v>597860.92628532788</v>
      </c>
      <c r="N31" s="39">
        <f t="shared" si="5"/>
        <v>376097.48698963481</v>
      </c>
    </row>
    <row r="32" spans="1:14" ht="11.85" customHeight="1" x14ac:dyDescent="0.25">
      <c r="B32" s="71" t="s">
        <v>110</v>
      </c>
      <c r="C32" s="37">
        <f>+C31</f>
        <v>720</v>
      </c>
      <c r="D32" s="38">
        <f>D31*0.5</f>
        <v>0.42802155838836392</v>
      </c>
      <c r="E32" s="27"/>
      <c r="F32" s="27"/>
      <c r="G32" s="27">
        <f t="shared" si="3"/>
        <v>0</v>
      </c>
      <c r="H32" s="27">
        <f t="shared" si="0"/>
        <v>0</v>
      </c>
      <c r="I32" s="27">
        <f t="shared" si="9"/>
        <v>0</v>
      </c>
      <c r="J32" s="27">
        <f t="shared" si="9"/>
        <v>0</v>
      </c>
      <c r="K32" s="38">
        <f t="shared" si="7"/>
        <v>1.1071498634913479</v>
      </c>
      <c r="L32" s="38">
        <f t="shared" si="4"/>
        <v>0.78353643122840588</v>
      </c>
      <c r="M32" s="27">
        <f t="shared" si="8"/>
        <v>0</v>
      </c>
      <c r="N32" s="39">
        <f t="shared" si="5"/>
        <v>0</v>
      </c>
    </row>
    <row r="33" spans="1:14" ht="11.85" customHeight="1" x14ac:dyDescent="0.25">
      <c r="B33" s="36" t="s">
        <v>48</v>
      </c>
      <c r="C33" s="37">
        <v>744</v>
      </c>
      <c r="D33" s="38">
        <f>'Multiplicatori 20-21-TAR'!J11</f>
        <v>0.98705128182994917</v>
      </c>
      <c r="E33" s="27">
        <f>'ESTIMARE I_E-20-21'!G171+'Estimare T1 18-19'!G35</f>
        <v>375</v>
      </c>
      <c r="F33" s="27">
        <f>'ESTIMARE I_E-20-21'!G176+'Estimare T1 18-19'!G35</f>
        <v>333.33333333333331</v>
      </c>
      <c r="G33" s="27">
        <f t="shared" si="3"/>
        <v>279000</v>
      </c>
      <c r="H33" s="27">
        <f t="shared" si="0"/>
        <v>248000</v>
      </c>
      <c r="I33" s="27">
        <f t="shared" si="9"/>
        <v>275387.30763055582</v>
      </c>
      <c r="J33" s="27">
        <f t="shared" si="9"/>
        <v>244788.71789382739</v>
      </c>
      <c r="K33" s="38">
        <f t="shared" si="7"/>
        <v>2.5531744149798818</v>
      </c>
      <c r="L33" s="38">
        <f t="shared" si="4"/>
        <v>1.8068964603477482</v>
      </c>
      <c r="M33" s="27">
        <f t="shared" si="8"/>
        <v>712335.66177938704</v>
      </c>
      <c r="N33" s="39">
        <f t="shared" si="5"/>
        <v>448110.32216624153</v>
      </c>
    </row>
    <row r="34" spans="1:14" ht="11.85" customHeight="1" x14ac:dyDescent="0.25">
      <c r="B34" s="71" t="s">
        <v>111</v>
      </c>
      <c r="C34" s="37">
        <f>+C33</f>
        <v>744</v>
      </c>
      <c r="D34" s="38">
        <f>D33*0.5</f>
        <v>0.49352564091497458</v>
      </c>
      <c r="E34" s="27"/>
      <c r="F34" s="27"/>
      <c r="G34" s="27">
        <f t="shared" si="3"/>
        <v>0</v>
      </c>
      <c r="H34" s="27">
        <f t="shared" si="0"/>
        <v>0</v>
      </c>
      <c r="I34" s="27">
        <f t="shared" si="9"/>
        <v>0</v>
      </c>
      <c r="J34" s="27">
        <f t="shared" si="9"/>
        <v>0</v>
      </c>
      <c r="K34" s="38">
        <f t="shared" si="7"/>
        <v>1.2765872074899409</v>
      </c>
      <c r="L34" s="38">
        <f t="shared" si="4"/>
        <v>0.9034482301738741</v>
      </c>
      <c r="M34" s="27">
        <f t="shared" si="8"/>
        <v>0</v>
      </c>
      <c r="N34" s="39">
        <f t="shared" si="5"/>
        <v>0</v>
      </c>
    </row>
    <row r="35" spans="1:14" ht="11.85" customHeight="1" x14ac:dyDescent="0.25">
      <c r="B35" s="36" t="s">
        <v>49</v>
      </c>
      <c r="C35" s="37">
        <v>720</v>
      </c>
      <c r="D35" s="38">
        <f>'Multiplicatori 20-21-TAR'!K11</f>
        <v>0.62589859150881466</v>
      </c>
      <c r="E35" s="27">
        <f>'ESTIMARE I_E-20-21'!G184+'Estimare T1 18-19'!G37</f>
        <v>375</v>
      </c>
      <c r="F35" s="27">
        <f>'ESTIMARE I_E-20-21'!G189+'Estimare T1 18-19'!G37</f>
        <v>333.33333333333331</v>
      </c>
      <c r="G35" s="27">
        <f t="shared" si="3"/>
        <v>270000</v>
      </c>
      <c r="H35" s="27">
        <f t="shared" si="0"/>
        <v>240000</v>
      </c>
      <c r="I35" s="27">
        <f t="shared" si="9"/>
        <v>168992.61970737996</v>
      </c>
      <c r="J35" s="27">
        <f t="shared" si="9"/>
        <v>150215.6619621155</v>
      </c>
      <c r="K35" s="38">
        <f t="shared" si="7"/>
        <v>1.6189921431939953</v>
      </c>
      <c r="L35" s="38">
        <f t="shared" si="4"/>
        <v>1.1457702050061849</v>
      </c>
      <c r="M35" s="27">
        <f t="shared" si="8"/>
        <v>437127.87866237876</v>
      </c>
      <c r="N35" s="39">
        <f t="shared" si="5"/>
        <v>274984.84920148435</v>
      </c>
    </row>
    <row r="36" spans="1:14" ht="11.85" customHeight="1" x14ac:dyDescent="0.25">
      <c r="B36" s="71" t="s">
        <v>112</v>
      </c>
      <c r="C36" s="37">
        <f>+C35</f>
        <v>720</v>
      </c>
      <c r="D36" s="38">
        <f>D35*0.5</f>
        <v>0.31294929575440733</v>
      </c>
      <c r="E36" s="27"/>
      <c r="F36" s="27"/>
      <c r="G36" s="27">
        <f t="shared" si="3"/>
        <v>0</v>
      </c>
      <c r="H36" s="27">
        <f t="shared" si="0"/>
        <v>0</v>
      </c>
      <c r="I36" s="27">
        <f t="shared" si="9"/>
        <v>0</v>
      </c>
      <c r="J36" s="27">
        <f t="shared" si="9"/>
        <v>0</v>
      </c>
      <c r="K36" s="38">
        <f t="shared" si="7"/>
        <v>0.80949607159699766</v>
      </c>
      <c r="L36" s="38">
        <f t="shared" si="4"/>
        <v>0.57288510250309244</v>
      </c>
      <c r="M36" s="27">
        <f t="shared" si="8"/>
        <v>0</v>
      </c>
      <c r="N36" s="39">
        <f t="shared" si="5"/>
        <v>0</v>
      </c>
    </row>
    <row r="37" spans="1:14" ht="11.85" customHeight="1" x14ac:dyDescent="0.25">
      <c r="B37" s="36" t="s">
        <v>50</v>
      </c>
      <c r="C37" s="37">
        <v>744</v>
      </c>
      <c r="D37" s="38">
        <f>'Multiplicatori 20-21-TAR'!L11</f>
        <v>2.3920339159115356</v>
      </c>
      <c r="E37" s="27">
        <f>'ESTIMARE I_E-20-21'!G197+'Estimare T1 18-19'!G39</f>
        <v>145.83333333333334</v>
      </c>
      <c r="F37" s="27">
        <f>'ESTIMARE I_E-20-21'!G202+'Estimare T1 18-19'!G39</f>
        <v>104.16666666666667</v>
      </c>
      <c r="G37" s="27">
        <f t="shared" si="3"/>
        <v>108500</v>
      </c>
      <c r="H37" s="27">
        <f t="shared" si="0"/>
        <v>77500</v>
      </c>
      <c r="I37" s="27">
        <f t="shared" si="9"/>
        <v>259535.67987640164</v>
      </c>
      <c r="J37" s="27">
        <f t="shared" si="9"/>
        <v>185382.62848314401</v>
      </c>
      <c r="K37" s="38">
        <f t="shared" si="7"/>
        <v>6.1873986755245838</v>
      </c>
      <c r="L37" s="38">
        <f t="shared" si="4"/>
        <v>4.3788582166462806</v>
      </c>
      <c r="M37" s="27">
        <f t="shared" si="8"/>
        <v>671332.75629441731</v>
      </c>
      <c r="N37" s="39">
        <f t="shared" si="5"/>
        <v>339361.51179008675</v>
      </c>
    </row>
    <row r="38" spans="1:14" ht="11.85" customHeight="1" x14ac:dyDescent="0.25">
      <c r="B38" s="71" t="s">
        <v>113</v>
      </c>
      <c r="C38" s="37">
        <f>+C37</f>
        <v>744</v>
      </c>
      <c r="D38" s="38">
        <f>D37*0.5</f>
        <v>1.1960169579557678</v>
      </c>
      <c r="E38" s="27"/>
      <c r="F38" s="27"/>
      <c r="G38" s="27">
        <f t="shared" si="3"/>
        <v>0</v>
      </c>
      <c r="H38" s="27">
        <f t="shared" si="0"/>
        <v>0</v>
      </c>
      <c r="I38" s="27">
        <f t="shared" si="9"/>
        <v>0</v>
      </c>
      <c r="J38" s="27">
        <f t="shared" si="9"/>
        <v>0</v>
      </c>
      <c r="K38" s="38">
        <f t="shared" si="7"/>
        <v>3.0936993377622919</v>
      </c>
      <c r="L38" s="38">
        <f t="shared" si="4"/>
        <v>2.1894291083231403</v>
      </c>
      <c r="M38" s="27">
        <f t="shared" si="8"/>
        <v>0</v>
      </c>
      <c r="N38" s="39">
        <f t="shared" si="5"/>
        <v>0</v>
      </c>
    </row>
    <row r="39" spans="1:14" ht="11.85" customHeight="1" x14ac:dyDescent="0.25">
      <c r="B39" s="36" t="s">
        <v>51</v>
      </c>
      <c r="C39" s="37">
        <v>744</v>
      </c>
      <c r="D39" s="38">
        <f>'Multiplicatori 20-21-TAR'!M11</f>
        <v>2.2990064307411058</v>
      </c>
      <c r="E39" s="27">
        <f>'ESTIMARE I_E-20-21'!G210</f>
        <v>41.666666666666664</v>
      </c>
      <c r="F39" s="27"/>
      <c r="G39" s="27">
        <f t="shared" si="3"/>
        <v>31000</v>
      </c>
      <c r="H39" s="27">
        <f t="shared" si="0"/>
        <v>0</v>
      </c>
      <c r="I39" s="27">
        <f t="shared" si="9"/>
        <v>71269.199352974276</v>
      </c>
      <c r="J39" s="27">
        <f t="shared" si="9"/>
        <v>0</v>
      </c>
      <c r="K39" s="38">
        <f t="shared" si="7"/>
        <v>5.9467674141105684</v>
      </c>
      <c r="L39" s="38">
        <f t="shared" si="4"/>
        <v>4.2085620661181453</v>
      </c>
      <c r="M39" s="27">
        <f t="shared" si="8"/>
        <v>184349.78983742761</v>
      </c>
      <c r="N39" s="39">
        <f t="shared" si="5"/>
        <v>0</v>
      </c>
    </row>
    <row r="40" spans="1:14" ht="11.85" customHeight="1" x14ac:dyDescent="0.25">
      <c r="B40" s="71" t="s">
        <v>114</v>
      </c>
      <c r="C40" s="37">
        <f>+C39</f>
        <v>744</v>
      </c>
      <c r="D40" s="38">
        <f>D39*0.5</f>
        <v>1.1495032153705529</v>
      </c>
      <c r="E40" s="27"/>
      <c r="F40" s="27"/>
      <c r="G40" s="27">
        <f t="shared" si="3"/>
        <v>0</v>
      </c>
      <c r="H40" s="27">
        <f t="shared" si="0"/>
        <v>0</v>
      </c>
      <c r="I40" s="27">
        <f t="shared" si="9"/>
        <v>0</v>
      </c>
      <c r="J40" s="27">
        <f t="shared" si="9"/>
        <v>0</v>
      </c>
      <c r="K40" s="38">
        <f t="shared" si="7"/>
        <v>2.9733837070552842</v>
      </c>
      <c r="L40" s="38">
        <f t="shared" si="4"/>
        <v>2.1042810330590727</v>
      </c>
      <c r="M40" s="27">
        <f t="shared" si="8"/>
        <v>0</v>
      </c>
      <c r="N40" s="39">
        <f t="shared" si="5"/>
        <v>0</v>
      </c>
    </row>
    <row r="41" spans="1:14" ht="11.85" customHeight="1" x14ac:dyDescent="0.25">
      <c r="B41" s="36" t="s">
        <v>52</v>
      </c>
      <c r="C41" s="37">
        <v>720</v>
      </c>
      <c r="D41" s="38">
        <f>'Multiplicatori 20-21-TAR'!N11</f>
        <v>2.1372070617798453</v>
      </c>
      <c r="E41" s="27">
        <f>'ESTIMARE I_E-20-21'!G223</f>
        <v>41.666666666666664</v>
      </c>
      <c r="F41" s="27"/>
      <c r="G41" s="27">
        <f t="shared" si="3"/>
        <v>30000</v>
      </c>
      <c r="H41" s="27">
        <f t="shared" si="0"/>
        <v>0</v>
      </c>
      <c r="I41" s="27">
        <f t="shared" si="9"/>
        <v>64116.211853395354</v>
      </c>
      <c r="J41" s="27">
        <f t="shared" si="9"/>
        <v>0</v>
      </c>
      <c r="K41" s="38">
        <f t="shared" si="7"/>
        <v>5.5282460902479347</v>
      </c>
      <c r="L41" s="38">
        <f t="shared" si="4"/>
        <v>3.9123720783795264</v>
      </c>
      <c r="M41" s="27">
        <f t="shared" si="8"/>
        <v>165847.38270743805</v>
      </c>
      <c r="N41" s="39">
        <f t="shared" si="5"/>
        <v>0</v>
      </c>
    </row>
    <row r="42" spans="1:14" ht="11.85" customHeight="1" x14ac:dyDescent="0.25">
      <c r="B42" s="71" t="s">
        <v>115</v>
      </c>
      <c r="C42" s="37">
        <f>+C41</f>
        <v>720</v>
      </c>
      <c r="D42" s="38">
        <f>D41*0.5</f>
        <v>1.0686035308899227</v>
      </c>
      <c r="E42" s="27"/>
      <c r="F42" s="27"/>
      <c r="G42" s="27">
        <f t="shared" si="3"/>
        <v>0</v>
      </c>
      <c r="H42" s="27">
        <f t="shared" si="0"/>
        <v>0</v>
      </c>
      <c r="I42" s="27">
        <f t="shared" si="9"/>
        <v>0</v>
      </c>
      <c r="J42" s="27">
        <f t="shared" si="9"/>
        <v>0</v>
      </c>
      <c r="K42" s="38">
        <f t="shared" si="7"/>
        <v>2.7641230451239673</v>
      </c>
      <c r="L42" s="38">
        <f t="shared" si="4"/>
        <v>1.9561860391897632</v>
      </c>
      <c r="M42" s="27">
        <f t="shared" si="8"/>
        <v>0</v>
      </c>
      <c r="N42" s="39">
        <f t="shared" si="5"/>
        <v>0</v>
      </c>
    </row>
    <row r="43" spans="1:14" ht="12" customHeight="1" thickBot="1" x14ac:dyDescent="0.3">
      <c r="B43" s="40" t="s">
        <v>0</v>
      </c>
      <c r="C43" s="41"/>
      <c r="D43" s="42"/>
      <c r="E43" s="43"/>
      <c r="F43" s="43"/>
      <c r="G43" s="43">
        <f>SUM(G7:G42)</f>
        <v>223411123.44787952</v>
      </c>
      <c r="H43" s="43">
        <f>SUM(H7:H42)</f>
        <v>328626199.20949167</v>
      </c>
      <c r="I43" s="43">
        <f>SUM(I7:I42)</f>
        <v>230048591.24740493</v>
      </c>
      <c r="J43" s="43">
        <f>SUM(J7:J42)</f>
        <v>325062442.84855098</v>
      </c>
      <c r="K43" s="42"/>
      <c r="L43" s="42"/>
      <c r="M43" s="43">
        <f>SUM(M7:M42)</f>
        <v>595059434.28401268</v>
      </c>
      <c r="N43" s="44">
        <f>SUM(N7:N42)</f>
        <v>595059434.28401244</v>
      </c>
    </row>
    <row r="44" spans="1:14" ht="12" customHeight="1" thickTop="1" x14ac:dyDescent="0.25">
      <c r="B44" s="45"/>
      <c r="C44" s="46"/>
      <c r="I44" s="24">
        <v>179177833.23152</v>
      </c>
      <c r="J44" s="24">
        <v>182820918.03259999</v>
      </c>
      <c r="K44" s="23"/>
      <c r="L44" s="23"/>
      <c r="M44" s="23"/>
      <c r="N44" s="23"/>
    </row>
    <row r="45" spans="1:14" ht="12" customHeight="1" x14ac:dyDescent="0.25">
      <c r="B45" s="45"/>
      <c r="C45" s="46"/>
      <c r="K45" s="23"/>
      <c r="L45" s="23"/>
      <c r="M45" s="23"/>
      <c r="N45" s="23"/>
    </row>
    <row r="46" spans="1:14" ht="11.85" customHeight="1" x14ac:dyDescent="0.25">
      <c r="B46" s="45"/>
      <c r="C46" s="46"/>
      <c r="J46" s="29"/>
      <c r="M46" s="47">
        <f>M43-E3*1000</f>
        <v>0</v>
      </c>
      <c r="N46" s="47">
        <f>N43-F3*1000</f>
        <v>0</v>
      </c>
    </row>
    <row r="47" spans="1:14" s="24" customFormat="1" ht="11.85" customHeight="1" x14ac:dyDescent="0.25">
      <c r="A47" s="23"/>
      <c r="B47" s="23" t="s">
        <v>59</v>
      </c>
      <c r="C47" s="24">
        <f>C2-C3</f>
        <v>297529.71714200615</v>
      </c>
    </row>
    <row r="48" spans="1:14" s="24" customFormat="1" ht="11.85" customHeight="1" x14ac:dyDescent="0.25">
      <c r="A48" s="23"/>
      <c r="B48" s="23" t="s">
        <v>60</v>
      </c>
      <c r="C48" s="24">
        <f>'Multiplicatori 20-21-TAR'!F32</f>
        <v>191459157.0605405</v>
      </c>
    </row>
    <row r="50" spans="1:5" s="24" customFormat="1" ht="11.85" customHeight="1" x14ac:dyDescent="0.25">
      <c r="A50" s="23"/>
      <c r="B50" s="23" t="s">
        <v>61</v>
      </c>
      <c r="C50" s="29">
        <f>(C47*1000)/C48</f>
        <v>1.5540114231670075</v>
      </c>
      <c r="D50" s="48"/>
      <c r="E50" s="49"/>
    </row>
    <row r="51" spans="1:5" s="24" customFormat="1" ht="11.85" customHeight="1" x14ac:dyDescent="0.25">
      <c r="A51" s="23"/>
      <c r="B51" s="50"/>
      <c r="C51" s="51"/>
      <c r="D51" s="29"/>
      <c r="E51" s="25"/>
    </row>
    <row r="52" spans="1:5" s="24" customFormat="1" ht="11.85" customHeight="1" x14ac:dyDescent="0.25">
      <c r="A52" s="23"/>
      <c r="B52" s="50"/>
      <c r="C52" s="51"/>
      <c r="D52" s="29"/>
      <c r="E52" s="25"/>
    </row>
    <row r="53" spans="1:5" s="24" customFormat="1" ht="11.85" customHeight="1" x14ac:dyDescent="0.25">
      <c r="A53" s="23"/>
      <c r="B53" s="23" t="s">
        <v>62</v>
      </c>
      <c r="C53" s="29">
        <f>C2*1000/C48</f>
        <v>7.7700571158350398</v>
      </c>
      <c r="D53" s="29"/>
      <c r="E53" s="52"/>
    </row>
    <row r="54" spans="1:5" s="24" customFormat="1" ht="11.85" customHeight="1" x14ac:dyDescent="0.25">
      <c r="A54" s="23"/>
      <c r="B54" s="23"/>
      <c r="C54" s="29"/>
      <c r="D54" s="29"/>
      <c r="E54" s="52"/>
    </row>
    <row r="55" spans="1:5" s="24" customFormat="1" ht="13.5" x14ac:dyDescent="0.25">
      <c r="A55" s="23"/>
      <c r="B55" s="23"/>
    </row>
  </sheetData>
  <mergeCells count="5"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X53"/>
  <sheetViews>
    <sheetView topLeftCell="A13" zoomScale="110" zoomScaleNormal="110" workbookViewId="0">
      <selection activeCell="C7" sqref="C7:F42"/>
    </sheetView>
  </sheetViews>
  <sheetFormatPr defaultColWidth="9" defaultRowHeight="11.85" customHeight="1" x14ac:dyDescent="0.25"/>
  <cols>
    <col min="1" max="1" width="9" style="23"/>
    <col min="2" max="2" width="44.28515625" style="23" customWidth="1"/>
    <col min="3" max="3" width="14" style="24" bestFit="1" customWidth="1"/>
    <col min="4" max="24" width="11.140625" style="24" customWidth="1"/>
    <col min="25" max="255" width="9" style="23"/>
    <col min="256" max="256" width="35.28515625" style="23" customWidth="1"/>
    <col min="257" max="280" width="11.140625" style="23" customWidth="1"/>
    <col min="281" max="511" width="9" style="23"/>
    <col min="512" max="512" width="35.28515625" style="23" customWidth="1"/>
    <col min="513" max="536" width="11.140625" style="23" customWidth="1"/>
    <col min="537" max="767" width="9" style="23"/>
    <col min="768" max="768" width="35.28515625" style="23" customWidth="1"/>
    <col min="769" max="792" width="11.140625" style="23" customWidth="1"/>
    <col min="793" max="1023" width="9" style="23"/>
    <col min="1024" max="1024" width="35.28515625" style="23" customWidth="1"/>
    <col min="1025" max="1048" width="11.140625" style="23" customWidth="1"/>
    <col min="1049" max="1279" width="9" style="23"/>
    <col min="1280" max="1280" width="35.28515625" style="23" customWidth="1"/>
    <col min="1281" max="1304" width="11.140625" style="23" customWidth="1"/>
    <col min="1305" max="1535" width="9" style="23"/>
    <col min="1536" max="1536" width="35.28515625" style="23" customWidth="1"/>
    <col min="1537" max="1560" width="11.140625" style="23" customWidth="1"/>
    <col min="1561" max="1791" width="9" style="23"/>
    <col min="1792" max="1792" width="35.28515625" style="23" customWidth="1"/>
    <col min="1793" max="1816" width="11.140625" style="23" customWidth="1"/>
    <col min="1817" max="2047" width="9" style="23"/>
    <col min="2048" max="2048" width="35.28515625" style="23" customWidth="1"/>
    <col min="2049" max="2072" width="11.140625" style="23" customWidth="1"/>
    <col min="2073" max="2303" width="9" style="23"/>
    <col min="2304" max="2304" width="35.28515625" style="23" customWidth="1"/>
    <col min="2305" max="2328" width="11.140625" style="23" customWidth="1"/>
    <col min="2329" max="2559" width="9" style="23"/>
    <col min="2560" max="2560" width="35.28515625" style="23" customWidth="1"/>
    <col min="2561" max="2584" width="11.140625" style="23" customWidth="1"/>
    <col min="2585" max="2815" width="9" style="23"/>
    <col min="2816" max="2816" width="35.28515625" style="23" customWidth="1"/>
    <col min="2817" max="2840" width="11.140625" style="23" customWidth="1"/>
    <col min="2841" max="3071" width="9" style="23"/>
    <col min="3072" max="3072" width="35.28515625" style="23" customWidth="1"/>
    <col min="3073" max="3096" width="11.140625" style="23" customWidth="1"/>
    <col min="3097" max="3327" width="9" style="23"/>
    <col min="3328" max="3328" width="35.28515625" style="23" customWidth="1"/>
    <col min="3329" max="3352" width="11.140625" style="23" customWidth="1"/>
    <col min="3353" max="3583" width="9" style="23"/>
    <col min="3584" max="3584" width="35.28515625" style="23" customWidth="1"/>
    <col min="3585" max="3608" width="11.140625" style="23" customWidth="1"/>
    <col min="3609" max="3839" width="9" style="23"/>
    <col min="3840" max="3840" width="35.28515625" style="23" customWidth="1"/>
    <col min="3841" max="3864" width="11.140625" style="23" customWidth="1"/>
    <col min="3865" max="4095" width="9" style="23"/>
    <col min="4096" max="4096" width="35.28515625" style="23" customWidth="1"/>
    <col min="4097" max="4120" width="11.140625" style="23" customWidth="1"/>
    <col min="4121" max="4351" width="9" style="23"/>
    <col min="4352" max="4352" width="35.28515625" style="23" customWidth="1"/>
    <col min="4353" max="4376" width="11.140625" style="23" customWidth="1"/>
    <col min="4377" max="4607" width="9" style="23"/>
    <col min="4608" max="4608" width="35.28515625" style="23" customWidth="1"/>
    <col min="4609" max="4632" width="11.140625" style="23" customWidth="1"/>
    <col min="4633" max="4863" width="9" style="23"/>
    <col min="4864" max="4864" width="35.28515625" style="23" customWidth="1"/>
    <col min="4865" max="4888" width="11.140625" style="23" customWidth="1"/>
    <col min="4889" max="5119" width="9" style="23"/>
    <col min="5120" max="5120" width="35.28515625" style="23" customWidth="1"/>
    <col min="5121" max="5144" width="11.140625" style="23" customWidth="1"/>
    <col min="5145" max="5375" width="9" style="23"/>
    <col min="5376" max="5376" width="35.28515625" style="23" customWidth="1"/>
    <col min="5377" max="5400" width="11.140625" style="23" customWidth="1"/>
    <col min="5401" max="5631" width="9" style="23"/>
    <col min="5632" max="5632" width="35.28515625" style="23" customWidth="1"/>
    <col min="5633" max="5656" width="11.140625" style="23" customWidth="1"/>
    <col min="5657" max="5887" width="9" style="23"/>
    <col min="5888" max="5888" width="35.28515625" style="23" customWidth="1"/>
    <col min="5889" max="5912" width="11.140625" style="23" customWidth="1"/>
    <col min="5913" max="6143" width="9" style="23"/>
    <col min="6144" max="6144" width="35.28515625" style="23" customWidth="1"/>
    <col min="6145" max="6168" width="11.140625" style="23" customWidth="1"/>
    <col min="6169" max="6399" width="9" style="23"/>
    <col min="6400" max="6400" width="35.28515625" style="23" customWidth="1"/>
    <col min="6401" max="6424" width="11.140625" style="23" customWidth="1"/>
    <col min="6425" max="6655" width="9" style="23"/>
    <col min="6656" max="6656" width="35.28515625" style="23" customWidth="1"/>
    <col min="6657" max="6680" width="11.140625" style="23" customWidth="1"/>
    <col min="6681" max="6911" width="9" style="23"/>
    <col min="6912" max="6912" width="35.28515625" style="23" customWidth="1"/>
    <col min="6913" max="6936" width="11.140625" style="23" customWidth="1"/>
    <col min="6937" max="7167" width="9" style="23"/>
    <col min="7168" max="7168" width="35.28515625" style="23" customWidth="1"/>
    <col min="7169" max="7192" width="11.140625" style="23" customWidth="1"/>
    <col min="7193" max="7423" width="9" style="23"/>
    <col min="7424" max="7424" width="35.28515625" style="23" customWidth="1"/>
    <col min="7425" max="7448" width="11.140625" style="23" customWidth="1"/>
    <col min="7449" max="7679" width="9" style="23"/>
    <col min="7680" max="7680" width="35.28515625" style="23" customWidth="1"/>
    <col min="7681" max="7704" width="11.140625" style="23" customWidth="1"/>
    <col min="7705" max="7935" width="9" style="23"/>
    <col min="7936" max="7936" width="35.28515625" style="23" customWidth="1"/>
    <col min="7937" max="7960" width="11.140625" style="23" customWidth="1"/>
    <col min="7961" max="8191" width="9" style="23"/>
    <col min="8192" max="8192" width="35.28515625" style="23" customWidth="1"/>
    <col min="8193" max="8216" width="11.140625" style="23" customWidth="1"/>
    <col min="8217" max="8447" width="9" style="23"/>
    <col min="8448" max="8448" width="35.28515625" style="23" customWidth="1"/>
    <col min="8449" max="8472" width="11.140625" style="23" customWidth="1"/>
    <col min="8473" max="8703" width="9" style="23"/>
    <col min="8704" max="8704" width="35.28515625" style="23" customWidth="1"/>
    <col min="8705" max="8728" width="11.140625" style="23" customWidth="1"/>
    <col min="8729" max="8959" width="9" style="23"/>
    <col min="8960" max="8960" width="35.28515625" style="23" customWidth="1"/>
    <col min="8961" max="8984" width="11.140625" style="23" customWidth="1"/>
    <col min="8985" max="9215" width="9" style="23"/>
    <col min="9216" max="9216" width="35.28515625" style="23" customWidth="1"/>
    <col min="9217" max="9240" width="11.140625" style="23" customWidth="1"/>
    <col min="9241" max="9471" width="9" style="23"/>
    <col min="9472" max="9472" width="35.28515625" style="23" customWidth="1"/>
    <col min="9473" max="9496" width="11.140625" style="23" customWidth="1"/>
    <col min="9497" max="9727" width="9" style="23"/>
    <col min="9728" max="9728" width="35.28515625" style="23" customWidth="1"/>
    <col min="9729" max="9752" width="11.140625" style="23" customWidth="1"/>
    <col min="9753" max="9983" width="9" style="23"/>
    <col min="9984" max="9984" width="35.28515625" style="23" customWidth="1"/>
    <col min="9985" max="10008" width="11.140625" style="23" customWidth="1"/>
    <col min="10009" max="10239" width="9" style="23"/>
    <col min="10240" max="10240" width="35.28515625" style="23" customWidth="1"/>
    <col min="10241" max="10264" width="11.140625" style="23" customWidth="1"/>
    <col min="10265" max="10495" width="9" style="23"/>
    <col min="10496" max="10496" width="35.28515625" style="23" customWidth="1"/>
    <col min="10497" max="10520" width="11.140625" style="23" customWidth="1"/>
    <col min="10521" max="10751" width="9" style="23"/>
    <col min="10752" max="10752" width="35.28515625" style="23" customWidth="1"/>
    <col min="10753" max="10776" width="11.140625" style="23" customWidth="1"/>
    <col min="10777" max="11007" width="9" style="23"/>
    <col min="11008" max="11008" width="35.28515625" style="23" customWidth="1"/>
    <col min="11009" max="11032" width="11.140625" style="23" customWidth="1"/>
    <col min="11033" max="11263" width="9" style="23"/>
    <col min="11264" max="11264" width="35.28515625" style="23" customWidth="1"/>
    <col min="11265" max="11288" width="11.140625" style="23" customWidth="1"/>
    <col min="11289" max="11519" width="9" style="23"/>
    <col min="11520" max="11520" width="35.28515625" style="23" customWidth="1"/>
    <col min="11521" max="11544" width="11.140625" style="23" customWidth="1"/>
    <col min="11545" max="11775" width="9" style="23"/>
    <col min="11776" max="11776" width="35.28515625" style="23" customWidth="1"/>
    <col min="11777" max="11800" width="11.140625" style="23" customWidth="1"/>
    <col min="11801" max="12031" width="9" style="23"/>
    <col min="12032" max="12032" width="35.28515625" style="23" customWidth="1"/>
    <col min="12033" max="12056" width="11.140625" style="23" customWidth="1"/>
    <col min="12057" max="12287" width="9" style="23"/>
    <col min="12288" max="12288" width="35.28515625" style="23" customWidth="1"/>
    <col min="12289" max="12312" width="11.140625" style="23" customWidth="1"/>
    <col min="12313" max="12543" width="9" style="23"/>
    <col min="12544" max="12544" width="35.28515625" style="23" customWidth="1"/>
    <col min="12545" max="12568" width="11.140625" style="23" customWidth="1"/>
    <col min="12569" max="12799" width="9" style="23"/>
    <col min="12800" max="12800" width="35.28515625" style="23" customWidth="1"/>
    <col min="12801" max="12824" width="11.140625" style="23" customWidth="1"/>
    <col min="12825" max="13055" width="9" style="23"/>
    <col min="13056" max="13056" width="35.28515625" style="23" customWidth="1"/>
    <col min="13057" max="13080" width="11.140625" style="23" customWidth="1"/>
    <col min="13081" max="13311" width="9" style="23"/>
    <col min="13312" max="13312" width="35.28515625" style="23" customWidth="1"/>
    <col min="13313" max="13336" width="11.140625" style="23" customWidth="1"/>
    <col min="13337" max="13567" width="9" style="23"/>
    <col min="13568" max="13568" width="35.28515625" style="23" customWidth="1"/>
    <col min="13569" max="13592" width="11.140625" style="23" customWidth="1"/>
    <col min="13593" max="13823" width="9" style="23"/>
    <col min="13824" max="13824" width="35.28515625" style="23" customWidth="1"/>
    <col min="13825" max="13848" width="11.140625" style="23" customWidth="1"/>
    <col min="13849" max="14079" width="9" style="23"/>
    <col min="14080" max="14080" width="35.28515625" style="23" customWidth="1"/>
    <col min="14081" max="14104" width="11.140625" style="23" customWidth="1"/>
    <col min="14105" max="14335" width="9" style="23"/>
    <col min="14336" max="14336" width="35.28515625" style="23" customWidth="1"/>
    <col min="14337" max="14360" width="11.140625" style="23" customWidth="1"/>
    <col min="14361" max="14591" width="9" style="23"/>
    <col min="14592" max="14592" width="35.28515625" style="23" customWidth="1"/>
    <col min="14593" max="14616" width="11.140625" style="23" customWidth="1"/>
    <col min="14617" max="14847" width="9" style="23"/>
    <col min="14848" max="14848" width="35.28515625" style="23" customWidth="1"/>
    <col min="14849" max="14872" width="11.140625" style="23" customWidth="1"/>
    <col min="14873" max="15103" width="9" style="23"/>
    <col min="15104" max="15104" width="35.28515625" style="23" customWidth="1"/>
    <col min="15105" max="15128" width="11.140625" style="23" customWidth="1"/>
    <col min="15129" max="15359" width="9" style="23"/>
    <col min="15360" max="15360" width="35.28515625" style="23" customWidth="1"/>
    <col min="15361" max="15384" width="11.140625" style="23" customWidth="1"/>
    <col min="15385" max="15615" width="9" style="23"/>
    <col min="15616" max="15616" width="35.28515625" style="23" customWidth="1"/>
    <col min="15617" max="15640" width="11.140625" style="23" customWidth="1"/>
    <col min="15641" max="15871" width="9" style="23"/>
    <col min="15872" max="15872" width="35.28515625" style="23" customWidth="1"/>
    <col min="15873" max="15896" width="11.140625" style="23" customWidth="1"/>
    <col min="15897" max="16127" width="9" style="23"/>
    <col min="16128" max="16128" width="35.28515625" style="23" customWidth="1"/>
    <col min="16129" max="16152" width="11.140625" style="23" customWidth="1"/>
    <col min="16153" max="16384" width="9" style="23"/>
  </cols>
  <sheetData>
    <row r="2" spans="1:14" ht="11.85" customHeight="1" x14ac:dyDescent="0.25">
      <c r="B2" s="23" t="s">
        <v>95</v>
      </c>
      <c r="C2" s="24">
        <f>ipoteze!B11</f>
        <v>1771498.3813971777</v>
      </c>
    </row>
    <row r="3" spans="1:14" ht="11.85" customHeight="1" x14ac:dyDescent="0.25">
      <c r="B3" s="23" t="s">
        <v>31</v>
      </c>
      <c r="C3" s="25">
        <f>C2*D3</f>
        <v>1505773.624187601</v>
      </c>
      <c r="D3" s="26">
        <v>0.85</v>
      </c>
      <c r="E3" s="27">
        <f>C3*C4</f>
        <v>752886.81209380052</v>
      </c>
      <c r="F3" s="27">
        <f>C3*C4</f>
        <v>752886.81209380052</v>
      </c>
      <c r="G3" s="28"/>
      <c r="H3" s="28"/>
    </row>
    <row r="4" spans="1:14" ht="12" customHeight="1" thickBot="1" x14ac:dyDescent="0.3">
      <c r="B4" s="23" t="s">
        <v>32</v>
      </c>
      <c r="C4" s="29">
        <v>0.5</v>
      </c>
    </row>
    <row r="5" spans="1:14" ht="23.85" customHeight="1" thickTop="1" x14ac:dyDescent="0.25">
      <c r="B5" s="30"/>
      <c r="C5" s="31"/>
      <c r="D5" s="31"/>
      <c r="E5" s="32" t="s">
        <v>33</v>
      </c>
      <c r="F5" s="32" t="s">
        <v>34</v>
      </c>
      <c r="G5" s="32" t="s">
        <v>33</v>
      </c>
      <c r="H5" s="32" t="s">
        <v>34</v>
      </c>
      <c r="I5" s="32" t="s">
        <v>33</v>
      </c>
      <c r="J5" s="32" t="s">
        <v>34</v>
      </c>
      <c r="K5" s="32" t="s">
        <v>33</v>
      </c>
      <c r="L5" s="32" t="s">
        <v>34</v>
      </c>
      <c r="M5" s="32" t="s">
        <v>33</v>
      </c>
      <c r="N5" s="33" t="s">
        <v>34</v>
      </c>
    </row>
    <row r="6" spans="1:14" ht="11.85" customHeight="1" x14ac:dyDescent="0.25">
      <c r="B6" s="34" t="s">
        <v>35</v>
      </c>
      <c r="C6" s="35" t="s">
        <v>36</v>
      </c>
      <c r="D6" s="35" t="s">
        <v>37</v>
      </c>
      <c r="E6" s="472" t="s">
        <v>38</v>
      </c>
      <c r="F6" s="474"/>
      <c r="G6" s="472" t="s">
        <v>39</v>
      </c>
      <c r="H6" s="474"/>
      <c r="I6" s="472" t="s">
        <v>40</v>
      </c>
      <c r="J6" s="474"/>
      <c r="K6" s="472" t="s">
        <v>41</v>
      </c>
      <c r="L6" s="474"/>
      <c r="M6" s="472" t="s">
        <v>42</v>
      </c>
      <c r="N6" s="473"/>
    </row>
    <row r="7" spans="1:14" ht="11.85" customHeight="1" x14ac:dyDescent="0.25">
      <c r="B7" s="36" t="s">
        <v>43</v>
      </c>
      <c r="C7" s="37">
        <v>8760</v>
      </c>
      <c r="D7" s="27"/>
      <c r="E7" s="27">
        <f>'ESTIMARE I_E-21-22'!G5+'Estimare T1 18-19'!G9-'ESTIMARE I_E-21-22'!G6</f>
        <v>28580.118051210033</v>
      </c>
      <c r="F7" s="27">
        <f>'ESTIMARE I_E-21-22'!G12+'Estimare T1 18-19'!G9-'ESTIMARE I_E-21-22'!G15</f>
        <v>32427.713747309252</v>
      </c>
      <c r="G7" s="27">
        <f>+E7*C7</f>
        <v>250361834.12859988</v>
      </c>
      <c r="H7" s="27">
        <f>+F7*C7</f>
        <v>284066772.42642903</v>
      </c>
      <c r="I7" s="27">
        <f>C7*E7</f>
        <v>250361834.12859988</v>
      </c>
      <c r="J7" s="27">
        <f>C7*F7</f>
        <v>284066772.42642903</v>
      </c>
      <c r="K7" s="38">
        <f>E3/I43*1000</f>
        <v>2.4614526051884491</v>
      </c>
      <c r="L7" s="38">
        <f>F3/J43*1000</f>
        <v>2.4260030122866469</v>
      </c>
      <c r="M7" s="27">
        <f>I7*K7</f>
        <v>616253788.8556006</v>
      </c>
      <c r="N7" s="39">
        <f>J7*L7</f>
        <v>689146845.59706223</v>
      </c>
    </row>
    <row r="8" spans="1:14" ht="11.85" customHeight="1" x14ac:dyDescent="0.25">
      <c r="B8" s="71" t="s">
        <v>44</v>
      </c>
      <c r="C8" s="37">
        <v>8760</v>
      </c>
      <c r="D8" s="38">
        <v>0.5</v>
      </c>
      <c r="E8" s="27">
        <f>'ESTIMARE I_E-21-22'!G6</f>
        <v>936.06885483999565</v>
      </c>
      <c r="F8" s="27"/>
      <c r="G8" s="27">
        <f>+E8*C8</f>
        <v>8199963.1683983617</v>
      </c>
      <c r="H8" s="27">
        <f t="shared" ref="H8:H42" si="0">+F8*C8</f>
        <v>0</v>
      </c>
      <c r="I8" s="27">
        <f>C8*E8*D8</f>
        <v>4099981.5841991808</v>
      </c>
      <c r="J8" s="27"/>
      <c r="K8" s="38">
        <f t="shared" ref="K8" si="1">$K$7*D8</f>
        <v>1.2307263025942246</v>
      </c>
      <c r="L8" s="38"/>
      <c r="M8" s="27">
        <f t="shared" ref="M8" si="2">E8*$C8*K8</f>
        <v>10091910.351651737</v>
      </c>
      <c r="N8" s="39">
        <f>J8*L8</f>
        <v>0</v>
      </c>
    </row>
    <row r="9" spans="1:14" ht="11.85" customHeight="1" x14ac:dyDescent="0.25">
      <c r="B9" s="71" t="s">
        <v>45</v>
      </c>
      <c r="C9" s="37">
        <v>8760</v>
      </c>
      <c r="D9" s="38">
        <v>0.5</v>
      </c>
      <c r="E9" s="27"/>
      <c r="F9" s="27">
        <f>'ESTIMARE I_E-21-22'!G15</f>
        <v>1835.4968018394873</v>
      </c>
      <c r="G9" s="27">
        <f t="shared" ref="G9:G42" si="3">+E9*C9</f>
        <v>0</v>
      </c>
      <c r="H9" s="27">
        <f>+F9*C9</f>
        <v>16078951.984113909</v>
      </c>
      <c r="I9" s="27"/>
      <c r="J9" s="27">
        <f>C9*F9*D9</f>
        <v>8039475.9920569547</v>
      </c>
      <c r="K9" s="38"/>
      <c r="L9" s="38">
        <f t="shared" ref="L9:L42" si="4">$L$7*D9</f>
        <v>1.2130015061433235</v>
      </c>
      <c r="M9" s="27"/>
      <c r="N9" s="39">
        <f t="shared" ref="N9:N42" si="5">F9*$C9*L9</f>
        <v>19503792.973936353</v>
      </c>
    </row>
    <row r="10" spans="1:14" ht="11.85" customHeight="1" x14ac:dyDescent="0.25">
      <c r="B10" s="36" t="s">
        <v>46</v>
      </c>
      <c r="C10" s="37"/>
      <c r="D10" s="27"/>
      <c r="E10" s="27"/>
      <c r="F10" s="27"/>
      <c r="G10" s="27">
        <f t="shared" si="3"/>
        <v>0</v>
      </c>
      <c r="H10" s="27">
        <f t="shared" si="0"/>
        <v>0</v>
      </c>
      <c r="I10" s="27"/>
      <c r="J10" s="27"/>
      <c r="K10" s="38"/>
      <c r="L10" s="38"/>
      <c r="M10" s="27"/>
      <c r="N10" s="39"/>
    </row>
    <row r="11" spans="1:14" ht="11.85" customHeight="1" x14ac:dyDescent="0.25">
      <c r="A11" s="72"/>
      <c r="B11" s="36" t="s">
        <v>96</v>
      </c>
      <c r="C11" s="37">
        <v>2208</v>
      </c>
      <c r="D11" s="38">
        <f>'Multiplicatori 21-22-TAR'!C10</f>
        <v>1.4724214561544722</v>
      </c>
      <c r="E11" s="27">
        <f>'ESTIMARE I_E-21-22'!G24-'ESTIMARE I_E-21-22'!G25+'Estimare T1 18-19'!G12</f>
        <v>3356.1190086235451</v>
      </c>
      <c r="F11" s="27">
        <f>'ESTIMARE I_E-21-22'!G30+'Estimare T1 18-19'!G12</f>
        <v>1165.4274431909712</v>
      </c>
      <c r="G11" s="27">
        <f t="shared" si="3"/>
        <v>7410310.7710407879</v>
      </c>
      <c r="H11" s="27">
        <f t="shared" si="0"/>
        <v>2573263.7945656646</v>
      </c>
      <c r="I11" s="27">
        <f t="shared" ref="I11:J26" si="6">$C11*$D11*E11</f>
        <v>10911100.576053046</v>
      </c>
      <c r="J11" s="27">
        <f t="shared" si="6"/>
        <v>3788928.8234639582</v>
      </c>
      <c r="K11" s="38">
        <f t="shared" ref="K11:K42" si="7">$K$7*D11</f>
        <v>3.6242956291867952</v>
      </c>
      <c r="L11" s="38">
        <f t="shared" si="4"/>
        <v>3.5720988879862405</v>
      </c>
      <c r="M11" s="27">
        <f t="shared" ref="M11:M42" si="8">E11*$C11*K11</f>
        <v>26857156.938398957</v>
      </c>
      <c r="N11" s="39">
        <f t="shared" si="5"/>
        <v>9191952.7390632648</v>
      </c>
    </row>
    <row r="12" spans="1:14" ht="11.85" customHeight="1" x14ac:dyDescent="0.25">
      <c r="A12" s="72"/>
      <c r="B12" s="71" t="s">
        <v>97</v>
      </c>
      <c r="C12" s="37">
        <v>2208</v>
      </c>
      <c r="D12" s="38">
        <f>D11*0.5</f>
        <v>0.73621072807723609</v>
      </c>
      <c r="E12" s="27">
        <f>'ESTIMARE I_E-21-22'!G25</f>
        <v>12.707146666872832</v>
      </c>
      <c r="F12" s="27"/>
      <c r="G12" s="27">
        <f t="shared" si="3"/>
        <v>28057.379840455214</v>
      </c>
      <c r="H12" s="27">
        <f t="shared" si="0"/>
        <v>0</v>
      </c>
      <c r="I12" s="27">
        <f t="shared" si="6"/>
        <v>20656.144040281099</v>
      </c>
      <c r="J12" s="27">
        <f t="shared" si="6"/>
        <v>0</v>
      </c>
      <c r="K12" s="38">
        <f t="shared" si="7"/>
        <v>1.8121478145933976</v>
      </c>
      <c r="L12" s="38">
        <f t="shared" si="4"/>
        <v>1.7860494439931203</v>
      </c>
      <c r="M12" s="27">
        <f t="shared" si="8"/>
        <v>50844.119561097767</v>
      </c>
      <c r="N12" s="39">
        <f t="shared" si="5"/>
        <v>0</v>
      </c>
    </row>
    <row r="13" spans="1:14" ht="11.85" customHeight="1" x14ac:dyDescent="0.25">
      <c r="A13" s="72"/>
      <c r="B13" s="36" t="s">
        <v>98</v>
      </c>
      <c r="C13" s="37">
        <v>2160</v>
      </c>
      <c r="D13" s="38">
        <f>'Multiplicatori 21-22-TAR'!F10</f>
        <v>1.5891521190286824</v>
      </c>
      <c r="E13" s="27">
        <f>'ESTIMARE I_E-21-22'!G37-'ESTIMARE I_E-21-22'!G38+'Estimare T1 18-19'!G14</f>
        <v>3790.6050882259528</v>
      </c>
      <c r="F13" s="27">
        <f>'ESTIMARE I_E-21-22'!G43+'Estimare T1 18-19'!G14</f>
        <v>1748.4830818781622</v>
      </c>
      <c r="G13" s="27">
        <f t="shared" si="3"/>
        <v>8187706.9905680586</v>
      </c>
      <c r="H13" s="27">
        <f t="shared" si="0"/>
        <v>3776723.4568568305</v>
      </c>
      <c r="I13" s="27">
        <f t="shared" si="6"/>
        <v>13011511.914047185</v>
      </c>
      <c r="J13" s="27">
        <f t="shared" si="6"/>
        <v>6001788.0844493629</v>
      </c>
      <c r="K13" s="38">
        <f t="shared" si="7"/>
        <v>3.9116226234238947</v>
      </c>
      <c r="L13" s="38">
        <f t="shared" si="4"/>
        <v>3.8552878277452916</v>
      </c>
      <c r="M13" s="27">
        <f t="shared" si="8"/>
        <v>32027219.898271989</v>
      </c>
      <c r="N13" s="39">
        <f t="shared" si="5"/>
        <v>14560355.971980259</v>
      </c>
    </row>
    <row r="14" spans="1:14" ht="11.85" customHeight="1" x14ac:dyDescent="0.25">
      <c r="A14" s="72"/>
      <c r="B14" s="71" t="s">
        <v>99</v>
      </c>
      <c r="C14" s="37">
        <v>2160</v>
      </c>
      <c r="D14" s="38">
        <f>D13*0.5</f>
        <v>0.79457605951434118</v>
      </c>
      <c r="E14" s="27">
        <f>'ESTIMARE I_E-21-22'!G38</f>
        <v>1171.8949117740472</v>
      </c>
      <c r="F14" s="27"/>
      <c r="G14" s="27">
        <f t="shared" si="3"/>
        <v>2531293.0094319419</v>
      </c>
      <c r="H14" s="27">
        <f t="shared" si="0"/>
        <v>0</v>
      </c>
      <c r="I14" s="27">
        <f t="shared" si="6"/>
        <v>2011304.8249106305</v>
      </c>
      <c r="J14" s="27">
        <f t="shared" si="6"/>
        <v>0</v>
      </c>
      <c r="K14" s="38">
        <f t="shared" si="7"/>
        <v>1.9558113117119473</v>
      </c>
      <c r="L14" s="38">
        <f t="shared" si="4"/>
        <v>1.9276439138726458</v>
      </c>
      <c r="M14" s="27">
        <f t="shared" si="8"/>
        <v>4950731.5011043688</v>
      </c>
      <c r="N14" s="39">
        <f t="shared" si="5"/>
        <v>0</v>
      </c>
    </row>
    <row r="15" spans="1:14" ht="11.85" customHeight="1" x14ac:dyDescent="0.25">
      <c r="A15" s="72"/>
      <c r="B15" s="36" t="s">
        <v>100</v>
      </c>
      <c r="C15" s="37">
        <v>2184</v>
      </c>
      <c r="D15" s="38">
        <f>'Multiplicatori 21-22-TAR'!I10</f>
        <v>1.0727246255235781</v>
      </c>
      <c r="E15" s="27">
        <f>'ESTIMARE I_E-21-22'!G50</f>
        <v>75.75</v>
      </c>
      <c r="F15" s="27">
        <f>'ESTIMARE I_E-21-22'!G55</f>
        <v>60.779242672379219</v>
      </c>
      <c r="G15" s="27">
        <f t="shared" si="3"/>
        <v>165438</v>
      </c>
      <c r="H15" s="27">
        <f t="shared" si="0"/>
        <v>132741.8659964762</v>
      </c>
      <c r="I15" s="27">
        <f t="shared" si="6"/>
        <v>177469.41659736971</v>
      </c>
      <c r="J15" s="27">
        <f t="shared" si="6"/>
        <v>142395.46849237094</v>
      </c>
      <c r="K15" s="38">
        <f t="shared" si="7"/>
        <v>2.6404608241448146</v>
      </c>
      <c r="L15" s="38">
        <f t="shared" si="4"/>
        <v>2.6024331728742656</v>
      </c>
      <c r="M15" s="27">
        <f t="shared" si="8"/>
        <v>436832.55782486987</v>
      </c>
      <c r="N15" s="39">
        <f t="shared" si="5"/>
        <v>345451.83549846016</v>
      </c>
    </row>
    <row r="16" spans="1:14" ht="11.85" customHeight="1" x14ac:dyDescent="0.25">
      <c r="A16" s="72"/>
      <c r="B16" s="71" t="s">
        <v>101</v>
      </c>
      <c r="C16" s="37">
        <v>2184</v>
      </c>
      <c r="D16" s="38">
        <f>D15*0.5</f>
        <v>0.53636231276178903</v>
      </c>
      <c r="E16" s="27"/>
      <c r="F16" s="27"/>
      <c r="G16" s="27">
        <f t="shared" si="3"/>
        <v>0</v>
      </c>
      <c r="H16" s="27">
        <f t="shared" si="0"/>
        <v>0</v>
      </c>
      <c r="I16" s="27">
        <f t="shared" si="6"/>
        <v>0</v>
      </c>
      <c r="J16" s="27">
        <f t="shared" si="6"/>
        <v>0</v>
      </c>
      <c r="K16" s="38">
        <f t="shared" si="7"/>
        <v>1.3202304120724073</v>
      </c>
      <c r="L16" s="38">
        <f t="shared" si="4"/>
        <v>1.3012165864371328</v>
      </c>
      <c r="M16" s="27">
        <f t="shared" si="8"/>
        <v>0</v>
      </c>
      <c r="N16" s="39">
        <f t="shared" si="5"/>
        <v>0</v>
      </c>
    </row>
    <row r="17" spans="1:14" ht="11.85" customHeight="1" x14ac:dyDescent="0.25">
      <c r="A17" s="72"/>
      <c r="B17" s="36" t="s">
        <v>102</v>
      </c>
      <c r="C17" s="37">
        <v>2208</v>
      </c>
      <c r="D17" s="38">
        <f>'Multiplicatori 21-22-TAR'!L10</f>
        <v>1.065701799293268</v>
      </c>
      <c r="E17" s="27">
        <f>'ESTIMARE I_E-21-22'!G63</f>
        <v>42.083333333333336</v>
      </c>
      <c r="F17" s="27">
        <f>'ESTIMARE I_E-21-22'!G68</f>
        <v>56.124221138268815</v>
      </c>
      <c r="G17" s="27">
        <f t="shared" si="3"/>
        <v>92920</v>
      </c>
      <c r="H17" s="27">
        <f t="shared" si="0"/>
        <v>123922.28027329754</v>
      </c>
      <c r="I17" s="27">
        <f t="shared" si="6"/>
        <v>99025.011190330464</v>
      </c>
      <c r="J17" s="27">
        <f t="shared" si="6"/>
        <v>132064.19705977786</v>
      </c>
      <c r="K17" s="38">
        <f t="shared" si="7"/>
        <v>2.6231744702244324</v>
      </c>
      <c r="L17" s="38">
        <f t="shared" si="4"/>
        <v>2.585395775284768</v>
      </c>
      <c r="M17" s="27">
        <f t="shared" si="8"/>
        <v>243745.37177325427</v>
      </c>
      <c r="N17" s="39">
        <f t="shared" si="5"/>
        <v>320388.13988223841</v>
      </c>
    </row>
    <row r="18" spans="1:14" ht="11.85" customHeight="1" x14ac:dyDescent="0.25">
      <c r="A18" s="72"/>
      <c r="B18" s="71" t="s">
        <v>103</v>
      </c>
      <c r="C18" s="37">
        <v>2208</v>
      </c>
      <c r="D18" s="38">
        <f>D17*0.5</f>
        <v>0.53285089964663401</v>
      </c>
      <c r="E18" s="27"/>
      <c r="F18" s="27"/>
      <c r="G18" s="27">
        <f t="shared" si="3"/>
        <v>0</v>
      </c>
      <c r="H18" s="27">
        <f t="shared" si="0"/>
        <v>0</v>
      </c>
      <c r="I18" s="27">
        <f t="shared" si="6"/>
        <v>0</v>
      </c>
      <c r="J18" s="27">
        <f t="shared" si="6"/>
        <v>0</v>
      </c>
      <c r="K18" s="38">
        <f t="shared" si="7"/>
        <v>1.3115872351122162</v>
      </c>
      <c r="L18" s="38">
        <f t="shared" si="4"/>
        <v>1.292697887642384</v>
      </c>
      <c r="M18" s="27">
        <f t="shared" si="8"/>
        <v>0</v>
      </c>
      <c r="N18" s="39">
        <f t="shared" si="5"/>
        <v>0</v>
      </c>
    </row>
    <row r="19" spans="1:14" ht="11.85" customHeight="1" x14ac:dyDescent="0.25">
      <c r="B19" s="36" t="s">
        <v>53</v>
      </c>
      <c r="C19" s="37">
        <v>744</v>
      </c>
      <c r="D19" s="38">
        <f>'Multiplicatori 21-22-TAR'!C11</f>
        <v>1.4462366396697988</v>
      </c>
      <c r="E19" s="27">
        <f>'ESTIMARE I_E-21-22'!G80+'Estimare T1 18-19'!G21</f>
        <v>75</v>
      </c>
      <c r="F19" s="27"/>
      <c r="G19" s="27">
        <f t="shared" si="3"/>
        <v>55800</v>
      </c>
      <c r="H19" s="27">
        <f t="shared" si="0"/>
        <v>0</v>
      </c>
      <c r="I19" s="27">
        <f t="shared" si="6"/>
        <v>80700.004493574772</v>
      </c>
      <c r="J19" s="27">
        <f t="shared" si="6"/>
        <v>0</v>
      </c>
      <c r="K19" s="38">
        <f t="shared" si="7"/>
        <v>3.5598429444342146</v>
      </c>
      <c r="L19" s="38">
        <f t="shared" si="4"/>
        <v>3.5085744443182496</v>
      </c>
      <c r="M19" s="27">
        <f t="shared" si="8"/>
        <v>198639.23629942918</v>
      </c>
      <c r="N19" s="39">
        <f t="shared" si="5"/>
        <v>0</v>
      </c>
    </row>
    <row r="20" spans="1:14" ht="11.85" customHeight="1" x14ac:dyDescent="0.25">
      <c r="B20" s="71" t="s">
        <v>104</v>
      </c>
      <c r="C20" s="37">
        <f>+C19</f>
        <v>744</v>
      </c>
      <c r="D20" s="38">
        <f>D19*0.5</f>
        <v>0.72311831983489938</v>
      </c>
      <c r="E20" s="27"/>
      <c r="F20" s="27"/>
      <c r="G20" s="27">
        <f t="shared" si="3"/>
        <v>0</v>
      </c>
      <c r="H20" s="27">
        <f t="shared" si="0"/>
        <v>0</v>
      </c>
      <c r="I20" s="27">
        <f t="shared" si="6"/>
        <v>0</v>
      </c>
      <c r="J20" s="27">
        <f t="shared" si="6"/>
        <v>0</v>
      </c>
      <c r="K20" s="38">
        <f t="shared" si="7"/>
        <v>1.7799214722171073</v>
      </c>
      <c r="L20" s="38">
        <f t="shared" si="4"/>
        <v>1.7542872221591248</v>
      </c>
      <c r="M20" s="27">
        <f t="shared" si="8"/>
        <v>0</v>
      </c>
      <c r="N20" s="39">
        <f t="shared" si="5"/>
        <v>0</v>
      </c>
    </row>
    <row r="21" spans="1:14" ht="11.85" customHeight="1" x14ac:dyDescent="0.25">
      <c r="B21" s="36" t="s">
        <v>54</v>
      </c>
      <c r="C21" s="37">
        <v>720</v>
      </c>
      <c r="D21" s="38">
        <f>'Multiplicatori 21-22-TAR'!D11</f>
        <v>1.589098104850081</v>
      </c>
      <c r="E21" s="27">
        <f>'ESTIMARE I_E-21-22'!G93-'ESTIMARE I_E-21-22'!G94+'Estimare T1 18-19'!G23</f>
        <v>2330.7881151920637</v>
      </c>
      <c r="F21" s="27">
        <f>'ESTIMARE I_E-21-22'!G99+'Estimare T1 18-19'!G23</f>
        <v>915.01868701309786</v>
      </c>
      <c r="G21" s="27">
        <f t="shared" si="3"/>
        <v>1678167.4429382859</v>
      </c>
      <c r="H21" s="27">
        <f t="shared" si="0"/>
        <v>658813.45464943047</v>
      </c>
      <c r="I21" s="27">
        <f t="shared" si="6"/>
        <v>2666772.7031943365</v>
      </c>
      <c r="J21" s="27">
        <f t="shared" si="6"/>
        <v>1046919.2122331447</v>
      </c>
      <c r="K21" s="38">
        <f t="shared" si="7"/>
        <v>3.9114896700832591</v>
      </c>
      <c r="L21" s="38">
        <f t="shared" si="4"/>
        <v>3.8551567891852985</v>
      </c>
      <c r="M21" s="27">
        <f t="shared" si="8"/>
        <v>6564134.6177231427</v>
      </c>
      <c r="N21" s="39">
        <f t="shared" si="5"/>
        <v>2539829.1624983726</v>
      </c>
    </row>
    <row r="22" spans="1:14" ht="11.85" customHeight="1" x14ac:dyDescent="0.25">
      <c r="B22" s="71" t="s">
        <v>105</v>
      </c>
      <c r="C22" s="37">
        <f>+C21</f>
        <v>720</v>
      </c>
      <c r="D22" s="38">
        <f>D21*0.5</f>
        <v>0.79454905242504048</v>
      </c>
      <c r="E22" s="27">
        <f>'ESTIMARE I_E-21-22'!G94</f>
        <v>252.54521814126952</v>
      </c>
      <c r="F22" s="27"/>
      <c r="G22" s="27">
        <f t="shared" si="3"/>
        <v>181832.55706171406</v>
      </c>
      <c r="H22" s="27">
        <f t="shared" si="0"/>
        <v>0</v>
      </c>
      <c r="I22" s="27">
        <f t="shared" si="6"/>
        <v>144474.88591340699</v>
      </c>
      <c r="J22" s="27">
        <f t="shared" si="6"/>
        <v>0</v>
      </c>
      <c r="K22" s="38">
        <f t="shared" si="7"/>
        <v>1.9557448350416295</v>
      </c>
      <c r="L22" s="38">
        <f t="shared" si="4"/>
        <v>1.9275783945926492</v>
      </c>
      <c r="M22" s="27">
        <f t="shared" si="8"/>
        <v>355618.08431585965</v>
      </c>
      <c r="N22" s="39">
        <f t="shared" si="5"/>
        <v>0</v>
      </c>
    </row>
    <row r="23" spans="1:14" ht="11.85" customHeight="1" x14ac:dyDescent="0.25">
      <c r="B23" s="36" t="s">
        <v>55</v>
      </c>
      <c r="C23" s="37">
        <v>744</v>
      </c>
      <c r="D23" s="38">
        <f>'Multiplicatori 21-22-TAR'!E11</f>
        <v>2.0615087575532933</v>
      </c>
      <c r="E23" s="27">
        <f>'ESTIMARE I_E-21-22'!G106-'ESTIMARE I_E-21-22'!G107+'Estimare T1 18-19'!G25</f>
        <v>3967.7932905663988</v>
      </c>
      <c r="F23" s="27">
        <f>'ESTIMARE I_E-21-22'!G112+'Estimare T1 18-19'!G25</f>
        <v>1469.1558866669909</v>
      </c>
      <c r="G23" s="27">
        <f t="shared" si="3"/>
        <v>2952038.2081814008</v>
      </c>
      <c r="H23" s="27">
        <f t="shared" si="0"/>
        <v>1093051.9796802413</v>
      </c>
      <c r="I23" s="27">
        <f t="shared" si="6"/>
        <v>6085652.6187978899</v>
      </c>
      <c r="J23" s="27">
        <f t="shared" si="6"/>
        <v>2253336.2285717819</v>
      </c>
      <c r="K23" s="38">
        <f t="shared" si="7"/>
        <v>5.0743061018983564</v>
      </c>
      <c r="L23" s="38">
        <f t="shared" si="4"/>
        <v>5.0012264556795927</v>
      </c>
      <c r="M23" s="27">
        <f t="shared" si="8"/>
        <v>14979545.492811972</v>
      </c>
      <c r="N23" s="39">
        <f t="shared" si="5"/>
        <v>5466600.4782097759</v>
      </c>
    </row>
    <row r="24" spans="1:14" ht="11.85" customHeight="1" x14ac:dyDescent="0.25">
      <c r="B24" s="71" t="s">
        <v>106</v>
      </c>
      <c r="C24" s="37">
        <f>+C23</f>
        <v>744</v>
      </c>
      <c r="D24" s="38">
        <f>D23*0.5</f>
        <v>1.0307543787766467</v>
      </c>
      <c r="E24" s="27">
        <f>'ESTIMARE I_E-21-22'!G107</f>
        <v>1615.5400427669347</v>
      </c>
      <c r="F24" s="27"/>
      <c r="G24" s="27">
        <f t="shared" si="3"/>
        <v>1201961.7918185994</v>
      </c>
      <c r="H24" s="27">
        <f t="shared" si="0"/>
        <v>0</v>
      </c>
      <c r="I24" s="27">
        <f t="shared" si="6"/>
        <v>1238927.3800392456</v>
      </c>
      <c r="J24" s="27">
        <f t="shared" si="6"/>
        <v>0</v>
      </c>
      <c r="K24" s="38">
        <f t="shared" si="7"/>
        <v>2.5371530509491782</v>
      </c>
      <c r="L24" s="38">
        <f t="shared" si="4"/>
        <v>2.5006132278397963</v>
      </c>
      <c r="M24" s="27">
        <f t="shared" si="8"/>
        <v>3049561.0272369008</v>
      </c>
      <c r="N24" s="39">
        <f t="shared" si="5"/>
        <v>0</v>
      </c>
    </row>
    <row r="25" spans="1:14" ht="11.85" customHeight="1" x14ac:dyDescent="0.25">
      <c r="B25" s="36" t="s">
        <v>56</v>
      </c>
      <c r="C25" s="37">
        <v>744</v>
      </c>
      <c r="D25" s="38">
        <f>'Multiplicatori 21-22-TAR'!F11</f>
        <v>2.4055008618198639</v>
      </c>
      <c r="E25" s="27">
        <f>'ESTIMARE I_E-21-22'!G119-'ESTIMARE I_E-21-22'!G120+'Estimare T1 18-19'!G27</f>
        <v>4406.5867586263739</v>
      </c>
      <c r="F25" s="27">
        <f>'ESTIMARE I_E-21-22'!G125+'Estimare T1 18-19'!G27</f>
        <v>1625.6383271531261</v>
      </c>
      <c r="G25" s="27">
        <f t="shared" si="3"/>
        <v>3278500.5484180222</v>
      </c>
      <c r="H25" s="27">
        <f t="shared" si="0"/>
        <v>1209474.9154019258</v>
      </c>
      <c r="I25" s="27">
        <f t="shared" si="6"/>
        <v>7886435.8946964489</v>
      </c>
      <c r="J25" s="27">
        <f t="shared" si="6"/>
        <v>2909392.9513488393</v>
      </c>
      <c r="K25" s="38">
        <f t="shared" si="7"/>
        <v>5.9210263631095632</v>
      </c>
      <c r="L25" s="38">
        <f t="shared" si="4"/>
        <v>5.8357523368331155</v>
      </c>
      <c r="M25" s="27">
        <f t="shared" si="8"/>
        <v>19412088.178652272</v>
      </c>
      <c r="N25" s="39">
        <f t="shared" si="5"/>
        <v>7058196.063897823</v>
      </c>
    </row>
    <row r="26" spans="1:14" ht="11.85" customHeight="1" x14ac:dyDescent="0.25">
      <c r="B26" s="71" t="s">
        <v>107</v>
      </c>
      <c r="C26" s="37">
        <f>+C25</f>
        <v>744</v>
      </c>
      <c r="D26" s="38">
        <f>D25*0.5</f>
        <v>1.2027504309099319</v>
      </c>
      <c r="E26" s="27">
        <f>'ESTIMARE I_E-21-22'!G120</f>
        <v>1655.9132413736259</v>
      </c>
      <c r="F26" s="27"/>
      <c r="G26" s="27">
        <f t="shared" si="3"/>
        <v>1231999.4515819775</v>
      </c>
      <c r="H26" s="27">
        <f t="shared" si="0"/>
        <v>0</v>
      </c>
      <c r="I26" s="27">
        <f t="shared" si="6"/>
        <v>1481787.8712710235</v>
      </c>
      <c r="J26" s="27">
        <f t="shared" si="6"/>
        <v>0</v>
      </c>
      <c r="K26" s="38">
        <f t="shared" si="7"/>
        <v>2.9605131815547816</v>
      </c>
      <c r="L26" s="38">
        <f t="shared" si="4"/>
        <v>2.9178761684165577</v>
      </c>
      <c r="M26" s="27">
        <f t="shared" si="8"/>
        <v>3647350.6160767064</v>
      </c>
      <c r="N26" s="39">
        <f t="shared" si="5"/>
        <v>0</v>
      </c>
    </row>
    <row r="27" spans="1:14" ht="11.85" customHeight="1" x14ac:dyDescent="0.25">
      <c r="B27" s="36" t="s">
        <v>57</v>
      </c>
      <c r="C27" s="37">
        <v>672</v>
      </c>
      <c r="D27" s="38">
        <f>'Multiplicatori 21-22-TAR'!G11</f>
        <v>1.6208307275701119</v>
      </c>
      <c r="E27" s="27">
        <f>'ESTIMARE I_E-21-22'!G132-'ESTIMARE I_E-21-22'!G133+'Estimare T1 18-19'!G29</f>
        <v>3574.3473635640817</v>
      </c>
      <c r="F27" s="27">
        <f>'ESTIMARE I_E-21-22'!G138+'Estimare T1 18-19'!G29</f>
        <v>710.68906476885638</v>
      </c>
      <c r="G27" s="27">
        <f t="shared" si="3"/>
        <v>2401961.428315063</v>
      </c>
      <c r="H27" s="27">
        <f t="shared" si="0"/>
        <v>477583.05152467149</v>
      </c>
      <c r="I27" s="27">
        <f t="shared" ref="I27:J42" si="9">$C27*$D27*E27</f>
        <v>3893172.8894512486</v>
      </c>
      <c r="J27" s="27">
        <f t="shared" si="9"/>
        <v>774081.28487788746</v>
      </c>
      <c r="K27" s="38">
        <f t="shared" si="7"/>
        <v>3.9895980169469416</v>
      </c>
      <c r="L27" s="38">
        <f t="shared" si="4"/>
        <v>3.9321402274918493</v>
      </c>
      <c r="M27" s="27">
        <f t="shared" si="8"/>
        <v>9582860.5511888191</v>
      </c>
      <c r="N27" s="39">
        <f t="shared" si="5"/>
        <v>1877923.5288684734</v>
      </c>
    </row>
    <row r="28" spans="1:14" ht="11.85" customHeight="1" x14ac:dyDescent="0.25">
      <c r="B28" s="71" t="s">
        <v>108</v>
      </c>
      <c r="C28" s="37">
        <f>+C27</f>
        <v>672</v>
      </c>
      <c r="D28" s="38">
        <f>D27*0.5</f>
        <v>0.81041536378505596</v>
      </c>
      <c r="E28" s="27">
        <f>'ESTIMARE I_E-21-22'!G133</f>
        <v>446.48596976925182</v>
      </c>
      <c r="F28" s="27"/>
      <c r="G28" s="27">
        <f t="shared" si="3"/>
        <v>300038.57168493723</v>
      </c>
      <c r="H28" s="27">
        <f t="shared" si="0"/>
        <v>0</v>
      </c>
      <c r="I28" s="27">
        <f t="shared" si="9"/>
        <v>243155.86822159699</v>
      </c>
      <c r="J28" s="27">
        <f t="shared" si="9"/>
        <v>0</v>
      </c>
      <c r="K28" s="38">
        <f t="shared" si="7"/>
        <v>1.9947990084734708</v>
      </c>
      <c r="L28" s="38">
        <f t="shared" si="4"/>
        <v>1.9660701137459247</v>
      </c>
      <c r="M28" s="27">
        <f t="shared" si="8"/>
        <v>598516.64530090918</v>
      </c>
      <c r="N28" s="39">
        <f t="shared" si="5"/>
        <v>0</v>
      </c>
    </row>
    <row r="29" spans="1:14" ht="11.85" customHeight="1" x14ac:dyDescent="0.25">
      <c r="B29" s="36" t="s">
        <v>58</v>
      </c>
      <c r="C29" s="37">
        <v>744</v>
      </c>
      <c r="D29" s="38">
        <f>'Multiplicatori 21-22-TAR'!H11</f>
        <v>1.4745795918631555</v>
      </c>
      <c r="E29" s="27">
        <f>'ESTIMARE I_E-21-22'!G145+'Estimare T1 18-19'!G31</f>
        <v>208.33333333333331</v>
      </c>
      <c r="F29" s="27">
        <f>'ESTIMARE I_E-21-22'!G151+'Estimare T1 18-19'!G31</f>
        <v>166.66666666666666</v>
      </c>
      <c r="G29" s="27">
        <f t="shared" si="3"/>
        <v>155000</v>
      </c>
      <c r="H29" s="27">
        <f t="shared" si="0"/>
        <v>124000</v>
      </c>
      <c r="I29" s="27">
        <f t="shared" si="9"/>
        <v>228559.83673878908</v>
      </c>
      <c r="J29" s="27">
        <f t="shared" si="9"/>
        <v>182847.86939103127</v>
      </c>
      <c r="K29" s="38">
        <f t="shared" si="7"/>
        <v>3.6296077779492841</v>
      </c>
      <c r="L29" s="38">
        <f t="shared" si="4"/>
        <v>3.5773345317164296</v>
      </c>
      <c r="M29" s="27">
        <f t="shared" si="8"/>
        <v>562589.20558213908</v>
      </c>
      <c r="N29" s="39">
        <f t="shared" si="5"/>
        <v>443589.48193283728</v>
      </c>
    </row>
    <row r="30" spans="1:14" ht="11.85" customHeight="1" x14ac:dyDescent="0.25">
      <c r="B30" s="71" t="s">
        <v>109</v>
      </c>
      <c r="C30" s="37">
        <v>744</v>
      </c>
      <c r="D30" s="38">
        <f>D29*0.5</f>
        <v>0.73728979593157773</v>
      </c>
      <c r="E30" s="27"/>
      <c r="F30" s="27"/>
      <c r="G30" s="27">
        <f t="shared" si="3"/>
        <v>0</v>
      </c>
      <c r="H30" s="27">
        <f t="shared" si="0"/>
        <v>0</v>
      </c>
      <c r="I30" s="27">
        <f t="shared" si="9"/>
        <v>0</v>
      </c>
      <c r="J30" s="27">
        <f t="shared" si="9"/>
        <v>0</v>
      </c>
      <c r="K30" s="38">
        <f t="shared" si="7"/>
        <v>1.8148038889746421</v>
      </c>
      <c r="L30" s="38">
        <f t="shared" si="4"/>
        <v>1.7886672658582148</v>
      </c>
      <c r="M30" s="27">
        <f t="shared" si="8"/>
        <v>0</v>
      </c>
      <c r="N30" s="39">
        <f t="shared" si="5"/>
        <v>0</v>
      </c>
    </row>
    <row r="31" spans="1:14" ht="11.85" customHeight="1" x14ac:dyDescent="0.25">
      <c r="B31" s="36" t="s">
        <v>47</v>
      </c>
      <c r="C31" s="37">
        <v>720</v>
      </c>
      <c r="D31" s="38">
        <f>'Multiplicatori 21-22-TAR'!I11</f>
        <v>1.2700233455128964</v>
      </c>
      <c r="E31" s="27">
        <f>'ESTIMARE I_E-21-22'!G158+'Estimare T1 18-19'!G33</f>
        <v>375</v>
      </c>
      <c r="F31" s="27">
        <f>'ESTIMARE I_E-21-22'!G176+'Estimare T1 18-19'!G33</f>
        <v>333.33333333333331</v>
      </c>
      <c r="G31" s="27">
        <f t="shared" si="3"/>
        <v>270000</v>
      </c>
      <c r="H31" s="27">
        <f t="shared" si="0"/>
        <v>240000</v>
      </c>
      <c r="I31" s="27">
        <f t="shared" si="9"/>
        <v>342906.30328848207</v>
      </c>
      <c r="J31" s="27">
        <f t="shared" si="9"/>
        <v>304805.60292309511</v>
      </c>
      <c r="K31" s="38">
        <f t="shared" si="7"/>
        <v>3.1261022724628686</v>
      </c>
      <c r="L31" s="38">
        <f t="shared" si="4"/>
        <v>3.0810804618886518</v>
      </c>
      <c r="M31" s="27">
        <f t="shared" si="8"/>
        <v>844047.61356497451</v>
      </c>
      <c r="N31" s="39">
        <f t="shared" si="5"/>
        <v>739459.3108532764</v>
      </c>
    </row>
    <row r="32" spans="1:14" ht="11.85" customHeight="1" x14ac:dyDescent="0.25">
      <c r="B32" s="71" t="s">
        <v>110</v>
      </c>
      <c r="C32" s="37">
        <f>+C31</f>
        <v>720</v>
      </c>
      <c r="D32" s="38">
        <f>D31*0.5</f>
        <v>0.63501167275644821</v>
      </c>
      <c r="E32" s="27"/>
      <c r="F32" s="27"/>
      <c r="G32" s="27">
        <f t="shared" si="3"/>
        <v>0</v>
      </c>
      <c r="H32" s="27">
        <f t="shared" si="0"/>
        <v>0</v>
      </c>
      <c r="I32" s="27">
        <f t="shared" si="9"/>
        <v>0</v>
      </c>
      <c r="J32" s="27">
        <f t="shared" si="9"/>
        <v>0</v>
      </c>
      <c r="K32" s="38">
        <f t="shared" si="7"/>
        <v>1.5630511362314343</v>
      </c>
      <c r="L32" s="38">
        <f t="shared" si="4"/>
        <v>1.5405402309443259</v>
      </c>
      <c r="M32" s="27">
        <f t="shared" si="8"/>
        <v>0</v>
      </c>
      <c r="N32" s="39">
        <f t="shared" si="5"/>
        <v>0</v>
      </c>
    </row>
    <row r="33" spans="1:14" ht="11.85" customHeight="1" x14ac:dyDescent="0.25">
      <c r="B33" s="36" t="s">
        <v>48</v>
      </c>
      <c r="C33" s="37">
        <v>744</v>
      </c>
      <c r="D33" s="38">
        <f>'Multiplicatori 21-22-TAR'!J11</f>
        <v>1.3856564109525178</v>
      </c>
      <c r="E33" s="27">
        <f>'ESTIMARE I_E-21-22'!G171+'Estimare T1 18-19'!G35</f>
        <v>375</v>
      </c>
      <c r="F33" s="27">
        <f>'ESTIMARE I_E-21-22'!G176+'Estimare T1 18-19'!G35</f>
        <v>333.33333333333331</v>
      </c>
      <c r="G33" s="27">
        <f t="shared" si="3"/>
        <v>279000</v>
      </c>
      <c r="H33" s="27">
        <f t="shared" si="0"/>
        <v>248000</v>
      </c>
      <c r="I33" s="27">
        <f t="shared" si="9"/>
        <v>386598.13865575247</v>
      </c>
      <c r="J33" s="27">
        <f t="shared" si="9"/>
        <v>343642.78991622443</v>
      </c>
      <c r="K33" s="38">
        <f t="shared" si="7"/>
        <v>3.4107275826351513</v>
      </c>
      <c r="L33" s="38">
        <f t="shared" si="4"/>
        <v>3.3616066269651119</v>
      </c>
      <c r="M33" s="27">
        <f t="shared" si="8"/>
        <v>951592.99555520725</v>
      </c>
      <c r="N33" s="39">
        <f t="shared" si="5"/>
        <v>833678.4434873478</v>
      </c>
    </row>
    <row r="34" spans="1:14" ht="11.85" customHeight="1" x14ac:dyDescent="0.25">
      <c r="B34" s="71" t="s">
        <v>111</v>
      </c>
      <c r="C34" s="37">
        <f>+C33</f>
        <v>744</v>
      </c>
      <c r="D34" s="38">
        <f>D33*0.5</f>
        <v>0.6928282054762589</v>
      </c>
      <c r="E34" s="27"/>
      <c r="F34" s="27"/>
      <c r="G34" s="27">
        <f t="shared" si="3"/>
        <v>0</v>
      </c>
      <c r="H34" s="27">
        <f t="shared" si="0"/>
        <v>0</v>
      </c>
      <c r="I34" s="27">
        <f t="shared" si="9"/>
        <v>0</v>
      </c>
      <c r="J34" s="27">
        <f t="shared" si="9"/>
        <v>0</v>
      </c>
      <c r="K34" s="38">
        <f t="shared" si="7"/>
        <v>1.7053637913175757</v>
      </c>
      <c r="L34" s="38">
        <f t="shared" si="4"/>
        <v>1.680803313482556</v>
      </c>
      <c r="M34" s="27">
        <f t="shared" si="8"/>
        <v>0</v>
      </c>
      <c r="N34" s="39">
        <f t="shared" si="5"/>
        <v>0</v>
      </c>
    </row>
    <row r="35" spans="1:14" ht="11.85" customHeight="1" x14ac:dyDescent="0.25">
      <c r="B35" s="36" t="s">
        <v>49</v>
      </c>
      <c r="C35" s="37">
        <v>720</v>
      </c>
      <c r="D35" s="38">
        <f>'Multiplicatori 21-22-TAR'!K11</f>
        <v>1.057597793423894</v>
      </c>
      <c r="E35" s="27">
        <f>'ESTIMARE I_E-21-22'!G184+'Estimare T1 18-19'!G37</f>
        <v>375</v>
      </c>
      <c r="F35" s="27">
        <f>'ESTIMARE I_E-21-22'!G189+'Estimare T1 18-19'!G37</f>
        <v>333.33333333333331</v>
      </c>
      <c r="G35" s="27">
        <f t="shared" si="3"/>
        <v>270000</v>
      </c>
      <c r="H35" s="27">
        <f t="shared" si="0"/>
        <v>240000</v>
      </c>
      <c r="I35" s="27">
        <f t="shared" si="9"/>
        <v>285551.4042244514</v>
      </c>
      <c r="J35" s="27">
        <f t="shared" si="9"/>
        <v>253823.47042173453</v>
      </c>
      <c r="K35" s="38">
        <f t="shared" si="7"/>
        <v>2.6032268438647992</v>
      </c>
      <c r="L35" s="38">
        <f t="shared" si="4"/>
        <v>2.565735432634078</v>
      </c>
      <c r="M35" s="27">
        <f t="shared" si="8"/>
        <v>702871.2478434958</v>
      </c>
      <c r="N35" s="39">
        <f t="shared" si="5"/>
        <v>615776.50383217877</v>
      </c>
    </row>
    <row r="36" spans="1:14" ht="11.85" customHeight="1" x14ac:dyDescent="0.25">
      <c r="B36" s="71" t="s">
        <v>112</v>
      </c>
      <c r="C36" s="37">
        <f>+C35</f>
        <v>720</v>
      </c>
      <c r="D36" s="38">
        <f>D35*0.5</f>
        <v>0.52879889671194702</v>
      </c>
      <c r="E36" s="27"/>
      <c r="F36" s="27"/>
      <c r="G36" s="27">
        <f t="shared" si="3"/>
        <v>0</v>
      </c>
      <c r="H36" s="27">
        <f t="shared" si="0"/>
        <v>0</v>
      </c>
      <c r="I36" s="27">
        <f t="shared" si="9"/>
        <v>0</v>
      </c>
      <c r="J36" s="27">
        <f t="shared" si="9"/>
        <v>0</v>
      </c>
      <c r="K36" s="38">
        <f t="shared" si="7"/>
        <v>1.3016134219323996</v>
      </c>
      <c r="L36" s="38">
        <f t="shared" si="4"/>
        <v>1.282867716317039</v>
      </c>
      <c r="M36" s="27">
        <f t="shared" si="8"/>
        <v>0</v>
      </c>
      <c r="N36" s="39">
        <f t="shared" si="5"/>
        <v>0</v>
      </c>
    </row>
    <row r="37" spans="1:14" ht="11.85" customHeight="1" x14ac:dyDescent="0.25">
      <c r="B37" s="36" t="s">
        <v>50</v>
      </c>
      <c r="C37" s="37">
        <v>744</v>
      </c>
      <c r="D37" s="38">
        <f>'Multiplicatori 21-22-TAR'!L11</f>
        <v>1.2922988118379253</v>
      </c>
      <c r="E37" s="27">
        <f>'ESTIMARE I_E-21-22'!G197+'Estimare T1 18-19'!G39</f>
        <v>145.83333333333334</v>
      </c>
      <c r="F37" s="27">
        <f>'ESTIMARE I_E-21-22'!G202+'Estimare T1 18-19'!G39</f>
        <v>104.16666666666667</v>
      </c>
      <c r="G37" s="27">
        <f t="shared" si="3"/>
        <v>108500</v>
      </c>
      <c r="H37" s="27">
        <f t="shared" si="0"/>
        <v>77500</v>
      </c>
      <c r="I37" s="27">
        <f t="shared" si="9"/>
        <v>140214.42108441491</v>
      </c>
      <c r="J37" s="27">
        <f t="shared" si="9"/>
        <v>100153.15791743921</v>
      </c>
      <c r="K37" s="38">
        <f t="shared" si="7"/>
        <v>3.1809322770803985</v>
      </c>
      <c r="L37" s="38">
        <f t="shared" si="4"/>
        <v>3.1351208102932615</v>
      </c>
      <c r="M37" s="27">
        <f t="shared" si="8"/>
        <v>345131.15206322324</v>
      </c>
      <c r="N37" s="39">
        <f t="shared" si="5"/>
        <v>242971.86279772778</v>
      </c>
    </row>
    <row r="38" spans="1:14" ht="11.85" customHeight="1" x14ac:dyDescent="0.25">
      <c r="B38" s="71" t="s">
        <v>113</v>
      </c>
      <c r="C38" s="37">
        <f>+C37</f>
        <v>744</v>
      </c>
      <c r="D38" s="38">
        <f>D37*0.5</f>
        <v>0.64614940591896264</v>
      </c>
      <c r="E38" s="27"/>
      <c r="F38" s="27"/>
      <c r="G38" s="27">
        <f t="shared" si="3"/>
        <v>0</v>
      </c>
      <c r="H38" s="27">
        <f t="shared" si="0"/>
        <v>0</v>
      </c>
      <c r="I38" s="27">
        <f t="shared" si="9"/>
        <v>0</v>
      </c>
      <c r="J38" s="27">
        <f t="shared" si="9"/>
        <v>0</v>
      </c>
      <c r="K38" s="38">
        <f t="shared" si="7"/>
        <v>1.5904661385401992</v>
      </c>
      <c r="L38" s="38">
        <f t="shared" si="4"/>
        <v>1.5675604051466308</v>
      </c>
      <c r="M38" s="27">
        <f t="shared" si="8"/>
        <v>0</v>
      </c>
      <c r="N38" s="39">
        <f t="shared" si="5"/>
        <v>0</v>
      </c>
    </row>
    <row r="39" spans="1:14" ht="11.85" customHeight="1" x14ac:dyDescent="0.25">
      <c r="B39" s="36" t="s">
        <v>51</v>
      </c>
      <c r="C39" s="37">
        <v>744</v>
      </c>
      <c r="D39" s="38">
        <f>'Multiplicatori 21-22-TAR'!M11</f>
        <v>1.2420406161851245</v>
      </c>
      <c r="E39" s="27">
        <f>'ESTIMARE I_E-21-22'!G210</f>
        <v>41.666666666666664</v>
      </c>
      <c r="F39" s="27"/>
      <c r="G39" s="27">
        <f t="shared" si="3"/>
        <v>31000</v>
      </c>
      <c r="H39" s="27">
        <f t="shared" si="0"/>
        <v>0</v>
      </c>
      <c r="I39" s="27">
        <f t="shared" si="9"/>
        <v>38503.259101738855</v>
      </c>
      <c r="J39" s="27">
        <f t="shared" si="9"/>
        <v>0</v>
      </c>
      <c r="K39" s="38">
        <f t="shared" si="7"/>
        <v>3.0572241104587414</v>
      </c>
      <c r="L39" s="38">
        <f t="shared" si="4"/>
        <v>3.013194276247475</v>
      </c>
      <c r="M39" s="27">
        <f t="shared" si="8"/>
        <v>94773.947424220984</v>
      </c>
      <c r="N39" s="39">
        <f t="shared" si="5"/>
        <v>0</v>
      </c>
    </row>
    <row r="40" spans="1:14" ht="11.85" customHeight="1" x14ac:dyDescent="0.25">
      <c r="B40" s="71" t="s">
        <v>114</v>
      </c>
      <c r="C40" s="37">
        <f>+C39</f>
        <v>744</v>
      </c>
      <c r="D40" s="38">
        <f>D39*0.5</f>
        <v>0.62102030809256226</v>
      </c>
      <c r="E40" s="27"/>
      <c r="F40" s="27"/>
      <c r="G40" s="27">
        <f t="shared" si="3"/>
        <v>0</v>
      </c>
      <c r="H40" s="27">
        <f t="shared" si="0"/>
        <v>0</v>
      </c>
      <c r="I40" s="27">
        <f t="shared" si="9"/>
        <v>0</v>
      </c>
      <c r="J40" s="27">
        <f t="shared" si="9"/>
        <v>0</v>
      </c>
      <c r="K40" s="38">
        <f t="shared" si="7"/>
        <v>1.5286120552293707</v>
      </c>
      <c r="L40" s="38">
        <f t="shared" si="4"/>
        <v>1.5065971381237375</v>
      </c>
      <c r="M40" s="27">
        <f t="shared" si="8"/>
        <v>0</v>
      </c>
      <c r="N40" s="39">
        <f t="shared" si="5"/>
        <v>0</v>
      </c>
    </row>
    <row r="41" spans="1:14" ht="11.85" customHeight="1" x14ac:dyDescent="0.25">
      <c r="B41" s="36" t="s">
        <v>52</v>
      </c>
      <c r="C41" s="37">
        <v>720</v>
      </c>
      <c r="D41" s="38">
        <f>'Multiplicatori 21-22-TAR'!N11</f>
        <v>1.1546283387613396</v>
      </c>
      <c r="E41" s="27">
        <f>'ESTIMARE I_E-21-22'!G223</f>
        <v>41.666666666666664</v>
      </c>
      <c r="F41" s="27"/>
      <c r="G41" s="27">
        <f t="shared" si="3"/>
        <v>30000</v>
      </c>
      <c r="H41" s="27">
        <f t="shared" si="0"/>
        <v>0</v>
      </c>
      <c r="I41" s="27">
        <f t="shared" si="9"/>
        <v>34638.850162840186</v>
      </c>
      <c r="J41" s="27">
        <f t="shared" si="9"/>
        <v>0</v>
      </c>
      <c r="K41" s="38">
        <f t="shared" si="7"/>
        <v>2.8420629324685107</v>
      </c>
      <c r="L41" s="38">
        <f t="shared" si="4"/>
        <v>2.8011318279065369</v>
      </c>
      <c r="M41" s="27">
        <f t="shared" si="8"/>
        <v>85261.887974055324</v>
      </c>
      <c r="N41" s="39">
        <f t="shared" si="5"/>
        <v>0</v>
      </c>
    </row>
    <row r="42" spans="1:14" ht="11.85" customHeight="1" x14ac:dyDescent="0.25">
      <c r="B42" s="71" t="s">
        <v>115</v>
      </c>
      <c r="C42" s="37">
        <f>+C41</f>
        <v>720</v>
      </c>
      <c r="D42" s="38">
        <f>D41*0.5</f>
        <v>0.57731416938066982</v>
      </c>
      <c r="E42" s="27"/>
      <c r="F42" s="27"/>
      <c r="G42" s="27">
        <f t="shared" si="3"/>
        <v>0</v>
      </c>
      <c r="H42" s="27">
        <f t="shared" si="0"/>
        <v>0</v>
      </c>
      <c r="I42" s="27">
        <f t="shared" si="9"/>
        <v>0</v>
      </c>
      <c r="J42" s="27">
        <f t="shared" si="9"/>
        <v>0</v>
      </c>
      <c r="K42" s="38">
        <f t="shared" si="7"/>
        <v>1.4210314662342554</v>
      </c>
      <c r="L42" s="38">
        <f t="shared" si="4"/>
        <v>1.4005659139532685</v>
      </c>
      <c r="M42" s="27">
        <f t="shared" si="8"/>
        <v>0</v>
      </c>
      <c r="N42" s="39">
        <f t="shared" si="5"/>
        <v>0</v>
      </c>
    </row>
    <row r="43" spans="1:14" ht="12" customHeight="1" thickBot="1" x14ac:dyDescent="0.3">
      <c r="B43" s="40" t="s">
        <v>0</v>
      </c>
      <c r="C43" s="41"/>
      <c r="D43" s="42"/>
      <c r="E43" s="43"/>
      <c r="F43" s="43"/>
      <c r="G43" s="43">
        <f>SUM(G7:G42)</f>
        <v>291403323.44787949</v>
      </c>
      <c r="H43" s="43">
        <f>SUM(H7:H42)</f>
        <v>311120799.20949161</v>
      </c>
      <c r="I43" s="43">
        <f>SUM(I7:I42)</f>
        <v>305870935.92897332</v>
      </c>
      <c r="J43" s="43">
        <f>SUM(J7:J42)</f>
        <v>310340427.55955261</v>
      </c>
      <c r="K43" s="42"/>
      <c r="L43" s="42"/>
      <c r="M43" s="43">
        <f>SUM(M7:M42)</f>
        <v>752886812.09380007</v>
      </c>
      <c r="N43" s="44">
        <f>SUM(N7:N42)</f>
        <v>752886812.09380054</v>
      </c>
    </row>
    <row r="44" spans="1:14" ht="12" customHeight="1" thickTop="1" x14ac:dyDescent="0.25">
      <c r="B44" s="45"/>
      <c r="C44" s="46"/>
      <c r="I44" s="24">
        <v>179177833.23152</v>
      </c>
      <c r="J44" s="24">
        <v>182820918.03259999</v>
      </c>
      <c r="K44" s="23"/>
      <c r="L44" s="23"/>
      <c r="M44" s="23"/>
      <c r="N44" s="23"/>
    </row>
    <row r="45" spans="1:14" ht="12" customHeight="1" x14ac:dyDescent="0.25">
      <c r="B45" s="45"/>
      <c r="C45" s="46"/>
      <c r="K45" s="23"/>
      <c r="L45" s="23"/>
      <c r="M45" s="23"/>
      <c r="N45" s="23"/>
    </row>
    <row r="46" spans="1:14" ht="11.85" customHeight="1" x14ac:dyDescent="0.25">
      <c r="B46" s="45"/>
      <c r="C46" s="46"/>
      <c r="J46" s="29"/>
      <c r="M46" s="47">
        <f>M43-E3*1000</f>
        <v>0</v>
      </c>
      <c r="N46" s="47">
        <f>N43-F3*1000</f>
        <v>0</v>
      </c>
    </row>
    <row r="48" spans="1:14" s="24" customFormat="1" ht="11.85" customHeight="1" x14ac:dyDescent="0.25">
      <c r="A48" s="23"/>
      <c r="B48" s="23" t="s">
        <v>59</v>
      </c>
      <c r="C48" s="24">
        <f>C2-C3</f>
        <v>265724.75720957667</v>
      </c>
    </row>
    <row r="49" spans="1:5" s="24" customFormat="1" ht="11.85" customHeight="1" x14ac:dyDescent="0.25">
      <c r="A49" s="23"/>
      <c r="B49" s="23" t="s">
        <v>60</v>
      </c>
      <c r="C49" s="24">
        <f>'Multiplicatori 21-22-TAR'!F32</f>
        <v>264287607.0605405</v>
      </c>
    </row>
    <row r="51" spans="1:5" s="24" customFormat="1" ht="11.85" customHeight="1" x14ac:dyDescent="0.25">
      <c r="A51" s="23"/>
      <c r="B51" s="23" t="s">
        <v>61</v>
      </c>
      <c r="C51" s="29">
        <f>(C48*1000)/C49</f>
        <v>1.0054378264838841</v>
      </c>
      <c r="D51" s="48"/>
      <c r="E51" s="49"/>
    </row>
    <row r="52" spans="1:5" s="24" customFormat="1" ht="11.85" customHeight="1" x14ac:dyDescent="0.25">
      <c r="A52" s="23"/>
      <c r="B52" s="50"/>
      <c r="C52" s="51"/>
      <c r="D52" s="29"/>
      <c r="E52" s="25"/>
    </row>
    <row r="53" spans="1:5" s="24" customFormat="1" ht="11.85" customHeight="1" x14ac:dyDescent="0.25">
      <c r="A53" s="23"/>
      <c r="B53" s="50"/>
      <c r="C53" s="51"/>
      <c r="D53" s="29"/>
      <c r="E53" s="25"/>
    </row>
  </sheetData>
  <mergeCells count="5"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2:X55"/>
  <sheetViews>
    <sheetView topLeftCell="A13" zoomScale="110" zoomScaleNormal="110" workbookViewId="0">
      <selection activeCell="C7" sqref="C7:F42"/>
    </sheetView>
  </sheetViews>
  <sheetFormatPr defaultColWidth="9" defaultRowHeight="11.85" customHeight="1" x14ac:dyDescent="0.25"/>
  <cols>
    <col min="1" max="1" width="9" style="23"/>
    <col min="2" max="2" width="44.28515625" style="23" customWidth="1"/>
    <col min="3" max="3" width="14" style="24" bestFit="1" customWidth="1"/>
    <col min="4" max="24" width="11.140625" style="24" customWidth="1"/>
    <col min="25" max="255" width="9" style="23"/>
    <col min="256" max="256" width="35.28515625" style="23" customWidth="1"/>
    <col min="257" max="280" width="11.140625" style="23" customWidth="1"/>
    <col min="281" max="511" width="9" style="23"/>
    <col min="512" max="512" width="35.28515625" style="23" customWidth="1"/>
    <col min="513" max="536" width="11.140625" style="23" customWidth="1"/>
    <col min="537" max="767" width="9" style="23"/>
    <col min="768" max="768" width="35.28515625" style="23" customWidth="1"/>
    <col min="769" max="792" width="11.140625" style="23" customWidth="1"/>
    <col min="793" max="1023" width="9" style="23"/>
    <col min="1024" max="1024" width="35.28515625" style="23" customWidth="1"/>
    <col min="1025" max="1048" width="11.140625" style="23" customWidth="1"/>
    <col min="1049" max="1279" width="9" style="23"/>
    <col min="1280" max="1280" width="35.28515625" style="23" customWidth="1"/>
    <col min="1281" max="1304" width="11.140625" style="23" customWidth="1"/>
    <col min="1305" max="1535" width="9" style="23"/>
    <col min="1536" max="1536" width="35.28515625" style="23" customWidth="1"/>
    <col min="1537" max="1560" width="11.140625" style="23" customWidth="1"/>
    <col min="1561" max="1791" width="9" style="23"/>
    <col min="1792" max="1792" width="35.28515625" style="23" customWidth="1"/>
    <col min="1793" max="1816" width="11.140625" style="23" customWidth="1"/>
    <col min="1817" max="2047" width="9" style="23"/>
    <col min="2048" max="2048" width="35.28515625" style="23" customWidth="1"/>
    <col min="2049" max="2072" width="11.140625" style="23" customWidth="1"/>
    <col min="2073" max="2303" width="9" style="23"/>
    <col min="2304" max="2304" width="35.28515625" style="23" customWidth="1"/>
    <col min="2305" max="2328" width="11.140625" style="23" customWidth="1"/>
    <col min="2329" max="2559" width="9" style="23"/>
    <col min="2560" max="2560" width="35.28515625" style="23" customWidth="1"/>
    <col min="2561" max="2584" width="11.140625" style="23" customWidth="1"/>
    <col min="2585" max="2815" width="9" style="23"/>
    <col min="2816" max="2816" width="35.28515625" style="23" customWidth="1"/>
    <col min="2817" max="2840" width="11.140625" style="23" customWidth="1"/>
    <col min="2841" max="3071" width="9" style="23"/>
    <col min="3072" max="3072" width="35.28515625" style="23" customWidth="1"/>
    <col min="3073" max="3096" width="11.140625" style="23" customWidth="1"/>
    <col min="3097" max="3327" width="9" style="23"/>
    <col min="3328" max="3328" width="35.28515625" style="23" customWidth="1"/>
    <col min="3329" max="3352" width="11.140625" style="23" customWidth="1"/>
    <col min="3353" max="3583" width="9" style="23"/>
    <col min="3584" max="3584" width="35.28515625" style="23" customWidth="1"/>
    <col min="3585" max="3608" width="11.140625" style="23" customWidth="1"/>
    <col min="3609" max="3839" width="9" style="23"/>
    <col min="3840" max="3840" width="35.28515625" style="23" customWidth="1"/>
    <col min="3841" max="3864" width="11.140625" style="23" customWidth="1"/>
    <col min="3865" max="4095" width="9" style="23"/>
    <col min="4096" max="4096" width="35.28515625" style="23" customWidth="1"/>
    <col min="4097" max="4120" width="11.140625" style="23" customWidth="1"/>
    <col min="4121" max="4351" width="9" style="23"/>
    <col min="4352" max="4352" width="35.28515625" style="23" customWidth="1"/>
    <col min="4353" max="4376" width="11.140625" style="23" customWidth="1"/>
    <col min="4377" max="4607" width="9" style="23"/>
    <col min="4608" max="4608" width="35.28515625" style="23" customWidth="1"/>
    <col min="4609" max="4632" width="11.140625" style="23" customWidth="1"/>
    <col min="4633" max="4863" width="9" style="23"/>
    <col min="4864" max="4864" width="35.28515625" style="23" customWidth="1"/>
    <col min="4865" max="4888" width="11.140625" style="23" customWidth="1"/>
    <col min="4889" max="5119" width="9" style="23"/>
    <col min="5120" max="5120" width="35.28515625" style="23" customWidth="1"/>
    <col min="5121" max="5144" width="11.140625" style="23" customWidth="1"/>
    <col min="5145" max="5375" width="9" style="23"/>
    <col min="5376" max="5376" width="35.28515625" style="23" customWidth="1"/>
    <col min="5377" max="5400" width="11.140625" style="23" customWidth="1"/>
    <col min="5401" max="5631" width="9" style="23"/>
    <col min="5632" max="5632" width="35.28515625" style="23" customWidth="1"/>
    <col min="5633" max="5656" width="11.140625" style="23" customWidth="1"/>
    <col min="5657" max="5887" width="9" style="23"/>
    <col min="5888" max="5888" width="35.28515625" style="23" customWidth="1"/>
    <col min="5889" max="5912" width="11.140625" style="23" customWidth="1"/>
    <col min="5913" max="6143" width="9" style="23"/>
    <col min="6144" max="6144" width="35.28515625" style="23" customWidth="1"/>
    <col min="6145" max="6168" width="11.140625" style="23" customWidth="1"/>
    <col min="6169" max="6399" width="9" style="23"/>
    <col min="6400" max="6400" width="35.28515625" style="23" customWidth="1"/>
    <col min="6401" max="6424" width="11.140625" style="23" customWidth="1"/>
    <col min="6425" max="6655" width="9" style="23"/>
    <col min="6656" max="6656" width="35.28515625" style="23" customWidth="1"/>
    <col min="6657" max="6680" width="11.140625" style="23" customWidth="1"/>
    <col min="6681" max="6911" width="9" style="23"/>
    <col min="6912" max="6912" width="35.28515625" style="23" customWidth="1"/>
    <col min="6913" max="6936" width="11.140625" style="23" customWidth="1"/>
    <col min="6937" max="7167" width="9" style="23"/>
    <col min="7168" max="7168" width="35.28515625" style="23" customWidth="1"/>
    <col min="7169" max="7192" width="11.140625" style="23" customWidth="1"/>
    <col min="7193" max="7423" width="9" style="23"/>
    <col min="7424" max="7424" width="35.28515625" style="23" customWidth="1"/>
    <col min="7425" max="7448" width="11.140625" style="23" customWidth="1"/>
    <col min="7449" max="7679" width="9" style="23"/>
    <col min="7680" max="7680" width="35.28515625" style="23" customWidth="1"/>
    <col min="7681" max="7704" width="11.140625" style="23" customWidth="1"/>
    <col min="7705" max="7935" width="9" style="23"/>
    <col min="7936" max="7936" width="35.28515625" style="23" customWidth="1"/>
    <col min="7937" max="7960" width="11.140625" style="23" customWidth="1"/>
    <col min="7961" max="8191" width="9" style="23"/>
    <col min="8192" max="8192" width="35.28515625" style="23" customWidth="1"/>
    <col min="8193" max="8216" width="11.140625" style="23" customWidth="1"/>
    <col min="8217" max="8447" width="9" style="23"/>
    <col min="8448" max="8448" width="35.28515625" style="23" customWidth="1"/>
    <col min="8449" max="8472" width="11.140625" style="23" customWidth="1"/>
    <col min="8473" max="8703" width="9" style="23"/>
    <col min="8704" max="8704" width="35.28515625" style="23" customWidth="1"/>
    <col min="8705" max="8728" width="11.140625" style="23" customWidth="1"/>
    <col min="8729" max="8959" width="9" style="23"/>
    <col min="8960" max="8960" width="35.28515625" style="23" customWidth="1"/>
    <col min="8961" max="8984" width="11.140625" style="23" customWidth="1"/>
    <col min="8985" max="9215" width="9" style="23"/>
    <col min="9216" max="9216" width="35.28515625" style="23" customWidth="1"/>
    <col min="9217" max="9240" width="11.140625" style="23" customWidth="1"/>
    <col min="9241" max="9471" width="9" style="23"/>
    <col min="9472" max="9472" width="35.28515625" style="23" customWidth="1"/>
    <col min="9473" max="9496" width="11.140625" style="23" customWidth="1"/>
    <col min="9497" max="9727" width="9" style="23"/>
    <col min="9728" max="9728" width="35.28515625" style="23" customWidth="1"/>
    <col min="9729" max="9752" width="11.140625" style="23" customWidth="1"/>
    <col min="9753" max="9983" width="9" style="23"/>
    <col min="9984" max="9984" width="35.28515625" style="23" customWidth="1"/>
    <col min="9985" max="10008" width="11.140625" style="23" customWidth="1"/>
    <col min="10009" max="10239" width="9" style="23"/>
    <col min="10240" max="10240" width="35.28515625" style="23" customWidth="1"/>
    <col min="10241" max="10264" width="11.140625" style="23" customWidth="1"/>
    <col min="10265" max="10495" width="9" style="23"/>
    <col min="10496" max="10496" width="35.28515625" style="23" customWidth="1"/>
    <col min="10497" max="10520" width="11.140625" style="23" customWidth="1"/>
    <col min="10521" max="10751" width="9" style="23"/>
    <col min="10752" max="10752" width="35.28515625" style="23" customWidth="1"/>
    <col min="10753" max="10776" width="11.140625" style="23" customWidth="1"/>
    <col min="10777" max="11007" width="9" style="23"/>
    <col min="11008" max="11008" width="35.28515625" style="23" customWidth="1"/>
    <col min="11009" max="11032" width="11.140625" style="23" customWidth="1"/>
    <col min="11033" max="11263" width="9" style="23"/>
    <col min="11264" max="11264" width="35.28515625" style="23" customWidth="1"/>
    <col min="11265" max="11288" width="11.140625" style="23" customWidth="1"/>
    <col min="11289" max="11519" width="9" style="23"/>
    <col min="11520" max="11520" width="35.28515625" style="23" customWidth="1"/>
    <col min="11521" max="11544" width="11.140625" style="23" customWidth="1"/>
    <col min="11545" max="11775" width="9" style="23"/>
    <col min="11776" max="11776" width="35.28515625" style="23" customWidth="1"/>
    <col min="11777" max="11800" width="11.140625" style="23" customWidth="1"/>
    <col min="11801" max="12031" width="9" style="23"/>
    <col min="12032" max="12032" width="35.28515625" style="23" customWidth="1"/>
    <col min="12033" max="12056" width="11.140625" style="23" customWidth="1"/>
    <col min="12057" max="12287" width="9" style="23"/>
    <col min="12288" max="12288" width="35.28515625" style="23" customWidth="1"/>
    <col min="12289" max="12312" width="11.140625" style="23" customWidth="1"/>
    <col min="12313" max="12543" width="9" style="23"/>
    <col min="12544" max="12544" width="35.28515625" style="23" customWidth="1"/>
    <col min="12545" max="12568" width="11.140625" style="23" customWidth="1"/>
    <col min="12569" max="12799" width="9" style="23"/>
    <col min="12800" max="12800" width="35.28515625" style="23" customWidth="1"/>
    <col min="12801" max="12824" width="11.140625" style="23" customWidth="1"/>
    <col min="12825" max="13055" width="9" style="23"/>
    <col min="13056" max="13056" width="35.28515625" style="23" customWidth="1"/>
    <col min="13057" max="13080" width="11.140625" style="23" customWidth="1"/>
    <col min="13081" max="13311" width="9" style="23"/>
    <col min="13312" max="13312" width="35.28515625" style="23" customWidth="1"/>
    <col min="13313" max="13336" width="11.140625" style="23" customWidth="1"/>
    <col min="13337" max="13567" width="9" style="23"/>
    <col min="13568" max="13568" width="35.28515625" style="23" customWidth="1"/>
    <col min="13569" max="13592" width="11.140625" style="23" customWidth="1"/>
    <col min="13593" max="13823" width="9" style="23"/>
    <col min="13824" max="13824" width="35.28515625" style="23" customWidth="1"/>
    <col min="13825" max="13848" width="11.140625" style="23" customWidth="1"/>
    <col min="13849" max="14079" width="9" style="23"/>
    <col min="14080" max="14080" width="35.28515625" style="23" customWidth="1"/>
    <col min="14081" max="14104" width="11.140625" style="23" customWidth="1"/>
    <col min="14105" max="14335" width="9" style="23"/>
    <col min="14336" max="14336" width="35.28515625" style="23" customWidth="1"/>
    <col min="14337" max="14360" width="11.140625" style="23" customWidth="1"/>
    <col min="14361" max="14591" width="9" style="23"/>
    <col min="14592" max="14592" width="35.28515625" style="23" customWidth="1"/>
    <col min="14593" max="14616" width="11.140625" style="23" customWidth="1"/>
    <col min="14617" max="14847" width="9" style="23"/>
    <col min="14848" max="14848" width="35.28515625" style="23" customWidth="1"/>
    <col min="14849" max="14872" width="11.140625" style="23" customWidth="1"/>
    <col min="14873" max="15103" width="9" style="23"/>
    <col min="15104" max="15104" width="35.28515625" style="23" customWidth="1"/>
    <col min="15105" max="15128" width="11.140625" style="23" customWidth="1"/>
    <col min="15129" max="15359" width="9" style="23"/>
    <col min="15360" max="15360" width="35.28515625" style="23" customWidth="1"/>
    <col min="15361" max="15384" width="11.140625" style="23" customWidth="1"/>
    <col min="15385" max="15615" width="9" style="23"/>
    <col min="15616" max="15616" width="35.28515625" style="23" customWidth="1"/>
    <col min="15617" max="15640" width="11.140625" style="23" customWidth="1"/>
    <col min="15641" max="15871" width="9" style="23"/>
    <col min="15872" max="15872" width="35.28515625" style="23" customWidth="1"/>
    <col min="15873" max="15896" width="11.140625" style="23" customWidth="1"/>
    <col min="15897" max="16127" width="9" style="23"/>
    <col min="16128" max="16128" width="35.28515625" style="23" customWidth="1"/>
    <col min="16129" max="16152" width="11.140625" style="23" customWidth="1"/>
    <col min="16153" max="16384" width="9" style="23"/>
  </cols>
  <sheetData>
    <row r="2" spans="1:14" ht="11.85" customHeight="1" x14ac:dyDescent="0.25">
      <c r="B2" s="23" t="s">
        <v>95</v>
      </c>
      <c r="C2" s="24">
        <f>ipoteze!B12</f>
        <v>2125888.9628310972</v>
      </c>
    </row>
    <row r="3" spans="1:14" ht="11.85" customHeight="1" x14ac:dyDescent="0.25">
      <c r="B3" s="23" t="s">
        <v>31</v>
      </c>
      <c r="C3" s="25">
        <f>C2*D3</f>
        <v>1807005.6184064324</v>
      </c>
      <c r="D3" s="26">
        <v>0.85</v>
      </c>
      <c r="E3" s="27">
        <f>C3*C4</f>
        <v>903502.80920321622</v>
      </c>
      <c r="F3" s="27">
        <f>C3*C4</f>
        <v>903502.80920321622</v>
      </c>
      <c r="G3" s="28"/>
      <c r="H3" s="28"/>
    </row>
    <row r="4" spans="1:14" ht="12" customHeight="1" thickBot="1" x14ac:dyDescent="0.3">
      <c r="B4" s="23" t="s">
        <v>32</v>
      </c>
      <c r="C4" s="29">
        <v>0.5</v>
      </c>
    </row>
    <row r="5" spans="1:14" ht="23.85" customHeight="1" thickTop="1" x14ac:dyDescent="0.25">
      <c r="B5" s="30"/>
      <c r="C5" s="31"/>
      <c r="D5" s="31"/>
      <c r="E5" s="32" t="s">
        <v>33</v>
      </c>
      <c r="F5" s="32" t="s">
        <v>34</v>
      </c>
      <c r="G5" s="32" t="s">
        <v>33</v>
      </c>
      <c r="H5" s="32" t="s">
        <v>34</v>
      </c>
      <c r="I5" s="32" t="s">
        <v>33</v>
      </c>
      <c r="J5" s="32" t="s">
        <v>34</v>
      </c>
      <c r="K5" s="32" t="s">
        <v>33</v>
      </c>
      <c r="L5" s="32" t="s">
        <v>34</v>
      </c>
      <c r="M5" s="32" t="s">
        <v>33</v>
      </c>
      <c r="N5" s="33" t="s">
        <v>34</v>
      </c>
    </row>
    <row r="6" spans="1:14" ht="11.85" customHeight="1" x14ac:dyDescent="0.25">
      <c r="B6" s="34" t="s">
        <v>35</v>
      </c>
      <c r="C6" s="35" t="s">
        <v>36</v>
      </c>
      <c r="D6" s="35" t="s">
        <v>37</v>
      </c>
      <c r="E6" s="472" t="s">
        <v>38</v>
      </c>
      <c r="F6" s="474"/>
      <c r="G6" s="472" t="s">
        <v>39</v>
      </c>
      <c r="H6" s="474"/>
      <c r="I6" s="472" t="s">
        <v>40</v>
      </c>
      <c r="J6" s="474"/>
      <c r="K6" s="472" t="s">
        <v>41</v>
      </c>
      <c r="L6" s="474"/>
      <c r="M6" s="472" t="s">
        <v>42</v>
      </c>
      <c r="N6" s="473"/>
    </row>
    <row r="7" spans="1:14" ht="11.85" customHeight="1" x14ac:dyDescent="0.25">
      <c r="B7" s="36" t="s">
        <v>43</v>
      </c>
      <c r="C7" s="37">
        <v>8760</v>
      </c>
      <c r="D7" s="27"/>
      <c r="E7" s="27">
        <v>28580.118051210033</v>
      </c>
      <c r="F7" s="27">
        <v>32427.713747309252</v>
      </c>
      <c r="G7" s="27">
        <f>+E7*C7</f>
        <v>250361834.12859988</v>
      </c>
      <c r="H7" s="27">
        <f>+F7*C7</f>
        <v>284066772.42642903</v>
      </c>
      <c r="I7" s="27">
        <f>C7*E7</f>
        <v>250361834.12859988</v>
      </c>
      <c r="J7" s="27">
        <f>C7*F7</f>
        <v>284066772.42642903</v>
      </c>
      <c r="K7" s="38">
        <f>E3/I43*1000</f>
        <v>2.9538694366601073</v>
      </c>
      <c r="L7" s="38">
        <f>F3/J43*1000</f>
        <v>2.9113281060677765</v>
      </c>
      <c r="M7" s="27">
        <f>I7*K7</f>
        <v>739536169.93863857</v>
      </c>
      <c r="N7" s="39">
        <f>J7*L7</f>
        <v>827011578.56502175</v>
      </c>
    </row>
    <row r="8" spans="1:14" ht="11.85" customHeight="1" x14ac:dyDescent="0.25">
      <c r="B8" s="71" t="s">
        <v>44</v>
      </c>
      <c r="C8" s="37">
        <v>8760</v>
      </c>
      <c r="D8" s="38">
        <v>0.5</v>
      </c>
      <c r="E8" s="27">
        <v>936.06885483999565</v>
      </c>
      <c r="F8" s="27"/>
      <c r="G8" s="27">
        <f>+E8*C8</f>
        <v>8199963.1683983617</v>
      </c>
      <c r="H8" s="27">
        <f t="shared" ref="H8:H42" si="0">+F8*C8</f>
        <v>0</v>
      </c>
      <c r="I8" s="27">
        <f>C8*E8*D8</f>
        <v>4099981.5841991808</v>
      </c>
      <c r="J8" s="27"/>
      <c r="K8" s="38">
        <f t="shared" ref="K8" si="1">$K$7*D8</f>
        <v>1.4769347183300536</v>
      </c>
      <c r="L8" s="38"/>
      <c r="M8" s="27">
        <f t="shared" ref="M8" si="2">E8*$C8*K8</f>
        <v>12110810.292435249</v>
      </c>
      <c r="N8" s="39">
        <f>J8*L8</f>
        <v>0</v>
      </c>
    </row>
    <row r="9" spans="1:14" ht="11.85" customHeight="1" x14ac:dyDescent="0.25">
      <c r="B9" s="71" t="s">
        <v>45</v>
      </c>
      <c r="C9" s="37">
        <v>8760</v>
      </c>
      <c r="D9" s="38">
        <v>0.5</v>
      </c>
      <c r="E9" s="27"/>
      <c r="F9" s="27">
        <v>1835.4968018394873</v>
      </c>
      <c r="G9" s="27">
        <f t="shared" ref="G9:G42" si="3">+E9*C9</f>
        <v>0</v>
      </c>
      <c r="H9" s="27">
        <f>+F9*C9</f>
        <v>16078951.984113909</v>
      </c>
      <c r="I9" s="27"/>
      <c r="J9" s="27">
        <f>C9*F9*D9</f>
        <v>8039475.9920569547</v>
      </c>
      <c r="K9" s="38"/>
      <c r="L9" s="38">
        <f t="shared" ref="L9:L42" si="4">$L$7*D9</f>
        <v>1.4556640530338882</v>
      </c>
      <c r="M9" s="27"/>
      <c r="N9" s="39">
        <f t="shared" ref="N9:N42" si="5">F9*$C9*L9</f>
        <v>23405552.413732532</v>
      </c>
    </row>
    <row r="10" spans="1:14" ht="11.85" customHeight="1" x14ac:dyDescent="0.25">
      <c r="B10" s="36" t="s">
        <v>46</v>
      </c>
      <c r="C10" s="37"/>
      <c r="D10" s="27"/>
      <c r="E10" s="27"/>
      <c r="F10" s="27"/>
      <c r="G10" s="27">
        <f t="shared" si="3"/>
        <v>0</v>
      </c>
      <c r="H10" s="27">
        <f t="shared" si="0"/>
        <v>0</v>
      </c>
      <c r="I10" s="27"/>
      <c r="J10" s="27"/>
      <c r="K10" s="38"/>
      <c r="L10" s="38"/>
      <c r="M10" s="27"/>
      <c r="N10" s="39"/>
    </row>
    <row r="11" spans="1:14" ht="11.85" customHeight="1" x14ac:dyDescent="0.25">
      <c r="A11" s="72"/>
      <c r="B11" s="36" t="s">
        <v>96</v>
      </c>
      <c r="C11" s="37">
        <v>2208</v>
      </c>
      <c r="D11" s="38">
        <v>1.4724214561544722</v>
      </c>
      <c r="E11" s="27">
        <v>3356.1190086235451</v>
      </c>
      <c r="F11" s="27">
        <v>1165.4274431909712</v>
      </c>
      <c r="G11" s="27">
        <f t="shared" si="3"/>
        <v>7410310.7710407879</v>
      </c>
      <c r="H11" s="27">
        <f t="shared" si="0"/>
        <v>2573263.7945656646</v>
      </c>
      <c r="I11" s="27">
        <f t="shared" ref="I11:J26" si="6">$C11*$D11*E11</f>
        <v>10911100.576053046</v>
      </c>
      <c r="J11" s="27">
        <f t="shared" si="6"/>
        <v>3788928.8234639582</v>
      </c>
      <c r="K11" s="38">
        <f t="shared" ref="K11:K42" si="7">$K$7*D11</f>
        <v>4.3493407372172657</v>
      </c>
      <c r="L11" s="38">
        <f t="shared" si="4"/>
        <v>4.2867019692797568</v>
      </c>
      <c r="M11" s="27">
        <f t="shared" ref="M11:M42" si="8">E11*$C11*K11</f>
        <v>32229966.511927586</v>
      </c>
      <c r="N11" s="39">
        <f t="shared" si="5"/>
        <v>11030814.975640934</v>
      </c>
    </row>
    <row r="12" spans="1:14" ht="11.85" customHeight="1" x14ac:dyDescent="0.25">
      <c r="A12" s="72"/>
      <c r="B12" s="71" t="s">
        <v>97</v>
      </c>
      <c r="C12" s="37">
        <v>2208</v>
      </c>
      <c r="D12" s="38">
        <v>0.73621072807723609</v>
      </c>
      <c r="E12" s="27">
        <v>12.707146666872832</v>
      </c>
      <c r="F12" s="27"/>
      <c r="G12" s="27">
        <f t="shared" si="3"/>
        <v>28057.379840455214</v>
      </c>
      <c r="H12" s="27">
        <f t="shared" si="0"/>
        <v>0</v>
      </c>
      <c r="I12" s="27">
        <f t="shared" si="6"/>
        <v>20656.144040281099</v>
      </c>
      <c r="J12" s="27">
        <f t="shared" si="6"/>
        <v>0</v>
      </c>
      <c r="K12" s="38">
        <f t="shared" si="7"/>
        <v>2.1746703686086328</v>
      </c>
      <c r="L12" s="38">
        <f t="shared" si="4"/>
        <v>2.1433509846398784</v>
      </c>
      <c r="M12" s="27">
        <f t="shared" si="8"/>
        <v>61015.552559835167</v>
      </c>
      <c r="N12" s="39">
        <f t="shared" si="5"/>
        <v>0</v>
      </c>
    </row>
    <row r="13" spans="1:14" ht="11.85" customHeight="1" x14ac:dyDescent="0.25">
      <c r="A13" s="72"/>
      <c r="B13" s="36" t="s">
        <v>98</v>
      </c>
      <c r="C13" s="37">
        <v>2160</v>
      </c>
      <c r="D13" s="38">
        <v>1.5891521190286824</v>
      </c>
      <c r="E13" s="27">
        <v>3790.6050882259528</v>
      </c>
      <c r="F13" s="27">
        <v>1748.4830818781622</v>
      </c>
      <c r="G13" s="27">
        <f t="shared" si="3"/>
        <v>8187706.9905680586</v>
      </c>
      <c r="H13" s="27">
        <f t="shared" si="0"/>
        <v>3776723.4568568305</v>
      </c>
      <c r="I13" s="27">
        <f t="shared" si="6"/>
        <v>13011511.914047185</v>
      </c>
      <c r="J13" s="27">
        <f t="shared" si="6"/>
        <v>6001788.0844493629</v>
      </c>
      <c r="K13" s="38">
        <f t="shared" si="7"/>
        <v>4.6941478746024696</v>
      </c>
      <c r="L13" s="38">
        <f t="shared" si="4"/>
        <v>4.6265432289453674</v>
      </c>
      <c r="M13" s="27">
        <f t="shared" si="8"/>
        <v>38434307.367642835</v>
      </c>
      <c r="N13" s="39">
        <f t="shared" si="5"/>
        <v>17473174.336920112</v>
      </c>
    </row>
    <row r="14" spans="1:14" ht="11.85" customHeight="1" x14ac:dyDescent="0.25">
      <c r="A14" s="72"/>
      <c r="B14" s="71" t="s">
        <v>99</v>
      </c>
      <c r="C14" s="37">
        <v>2160</v>
      </c>
      <c r="D14" s="38">
        <v>0.79457605951434118</v>
      </c>
      <c r="E14" s="27">
        <v>1171.8949117740472</v>
      </c>
      <c r="F14" s="27"/>
      <c r="G14" s="27">
        <f t="shared" si="3"/>
        <v>2531293.0094319419</v>
      </c>
      <c r="H14" s="27">
        <f t="shared" si="0"/>
        <v>0</v>
      </c>
      <c r="I14" s="27">
        <f t="shared" si="6"/>
        <v>2011304.8249106305</v>
      </c>
      <c r="J14" s="27">
        <f t="shared" si="6"/>
        <v>0</v>
      </c>
      <c r="K14" s="38">
        <f t="shared" si="7"/>
        <v>2.3470739373012348</v>
      </c>
      <c r="L14" s="38">
        <f t="shared" si="4"/>
        <v>2.3132716144726837</v>
      </c>
      <c r="M14" s="27">
        <f t="shared" si="8"/>
        <v>5941131.8501105197</v>
      </c>
      <c r="N14" s="39">
        <f t="shared" si="5"/>
        <v>0</v>
      </c>
    </row>
    <row r="15" spans="1:14" ht="11.85" customHeight="1" x14ac:dyDescent="0.25">
      <c r="A15" s="72"/>
      <c r="B15" s="36" t="s">
        <v>100</v>
      </c>
      <c r="C15" s="37">
        <v>2184</v>
      </c>
      <c r="D15" s="38">
        <v>1.0727246255235781</v>
      </c>
      <c r="E15" s="27">
        <v>75.75</v>
      </c>
      <c r="F15" s="27">
        <v>60.779242672379219</v>
      </c>
      <c r="G15" s="27">
        <f t="shared" si="3"/>
        <v>165438</v>
      </c>
      <c r="H15" s="27">
        <f t="shared" si="0"/>
        <v>132741.8659964762</v>
      </c>
      <c r="I15" s="27">
        <f t="shared" si="6"/>
        <v>177469.41659736971</v>
      </c>
      <c r="J15" s="27">
        <f t="shared" si="6"/>
        <v>142395.46849237094</v>
      </c>
      <c r="K15" s="38">
        <f t="shared" si="7"/>
        <v>3.1686884852867561</v>
      </c>
      <c r="L15" s="38">
        <f t="shared" si="4"/>
        <v>3.1230533523578234</v>
      </c>
      <c r="M15" s="27">
        <f t="shared" si="8"/>
        <v>524221.48562887037</v>
      </c>
      <c r="N15" s="39">
        <f t="shared" si="5"/>
        <v>414559.92959852796</v>
      </c>
    </row>
    <row r="16" spans="1:14" ht="11.85" customHeight="1" x14ac:dyDescent="0.25">
      <c r="A16" s="72"/>
      <c r="B16" s="71" t="s">
        <v>101</v>
      </c>
      <c r="C16" s="37">
        <v>2184</v>
      </c>
      <c r="D16" s="38">
        <v>0.53636231276178903</v>
      </c>
      <c r="E16" s="27"/>
      <c r="F16" s="27"/>
      <c r="G16" s="27">
        <f t="shared" si="3"/>
        <v>0</v>
      </c>
      <c r="H16" s="27">
        <f t="shared" si="0"/>
        <v>0</v>
      </c>
      <c r="I16" s="27">
        <f t="shared" si="6"/>
        <v>0</v>
      </c>
      <c r="J16" s="27">
        <f t="shared" si="6"/>
        <v>0</v>
      </c>
      <c r="K16" s="38">
        <f t="shared" si="7"/>
        <v>1.584344242643378</v>
      </c>
      <c r="L16" s="38">
        <f t="shared" si="4"/>
        <v>1.5615266761789117</v>
      </c>
      <c r="M16" s="27">
        <f t="shared" si="8"/>
        <v>0</v>
      </c>
      <c r="N16" s="39">
        <f t="shared" si="5"/>
        <v>0</v>
      </c>
    </row>
    <row r="17" spans="1:14" ht="11.85" customHeight="1" x14ac:dyDescent="0.25">
      <c r="A17" s="72"/>
      <c r="B17" s="36" t="s">
        <v>102</v>
      </c>
      <c r="C17" s="37">
        <v>2208</v>
      </c>
      <c r="D17" s="38">
        <v>1.065701799293268</v>
      </c>
      <c r="E17" s="27">
        <v>42.083333333333336</v>
      </c>
      <c r="F17" s="27">
        <v>56.124221138268815</v>
      </c>
      <c r="G17" s="27">
        <f t="shared" si="3"/>
        <v>92920</v>
      </c>
      <c r="H17" s="27">
        <f t="shared" si="0"/>
        <v>123922.28027329754</v>
      </c>
      <c r="I17" s="27">
        <f t="shared" si="6"/>
        <v>99025.011190330464</v>
      </c>
      <c r="J17" s="27">
        <f t="shared" si="6"/>
        <v>132064.19705977786</v>
      </c>
      <c r="K17" s="38">
        <f t="shared" si="7"/>
        <v>3.1479439735260684</v>
      </c>
      <c r="L17" s="38">
        <f t="shared" si="4"/>
        <v>3.1026076009694918</v>
      </c>
      <c r="M17" s="27">
        <f t="shared" si="8"/>
        <v>292506.95402004226</v>
      </c>
      <c r="N17" s="39">
        <f t="shared" si="5"/>
        <v>384482.20870540466</v>
      </c>
    </row>
    <row r="18" spans="1:14" ht="11.85" customHeight="1" x14ac:dyDescent="0.25">
      <c r="A18" s="72"/>
      <c r="B18" s="71" t="s">
        <v>103</v>
      </c>
      <c r="C18" s="37">
        <v>2208</v>
      </c>
      <c r="D18" s="38">
        <v>0.53285089964663401</v>
      </c>
      <c r="E18" s="27"/>
      <c r="F18" s="27"/>
      <c r="G18" s="27">
        <f t="shared" si="3"/>
        <v>0</v>
      </c>
      <c r="H18" s="27">
        <f t="shared" si="0"/>
        <v>0</v>
      </c>
      <c r="I18" s="27">
        <f t="shared" si="6"/>
        <v>0</v>
      </c>
      <c r="J18" s="27">
        <f t="shared" si="6"/>
        <v>0</v>
      </c>
      <c r="K18" s="38">
        <f t="shared" si="7"/>
        <v>1.5739719867630342</v>
      </c>
      <c r="L18" s="38">
        <f t="shared" si="4"/>
        <v>1.5513038004847459</v>
      </c>
      <c r="M18" s="27">
        <f t="shared" si="8"/>
        <v>0</v>
      </c>
      <c r="N18" s="39">
        <f t="shared" si="5"/>
        <v>0</v>
      </c>
    </row>
    <row r="19" spans="1:14" ht="11.85" customHeight="1" x14ac:dyDescent="0.25">
      <c r="B19" s="36" t="s">
        <v>53</v>
      </c>
      <c r="C19" s="37">
        <v>744</v>
      </c>
      <c r="D19" s="38">
        <v>1.4462366396697988</v>
      </c>
      <c r="E19" s="27">
        <v>75</v>
      </c>
      <c r="F19" s="27"/>
      <c r="G19" s="27">
        <f t="shared" si="3"/>
        <v>55800</v>
      </c>
      <c r="H19" s="27">
        <f t="shared" si="0"/>
        <v>0</v>
      </c>
      <c r="I19" s="27">
        <f t="shared" si="6"/>
        <v>80700.004493574772</v>
      </c>
      <c r="J19" s="27">
        <f t="shared" si="6"/>
        <v>0</v>
      </c>
      <c r="K19" s="38">
        <f t="shared" si="7"/>
        <v>4.2719942080986346</v>
      </c>
      <c r="L19" s="38">
        <f t="shared" si="4"/>
        <v>4.2104693770957002</v>
      </c>
      <c r="M19" s="27">
        <f t="shared" si="8"/>
        <v>238377.27681190381</v>
      </c>
      <c r="N19" s="39">
        <f t="shared" si="5"/>
        <v>0</v>
      </c>
    </row>
    <row r="20" spans="1:14" ht="11.85" customHeight="1" x14ac:dyDescent="0.25">
      <c r="B20" s="71" t="s">
        <v>104</v>
      </c>
      <c r="C20" s="37">
        <v>744</v>
      </c>
      <c r="D20" s="38">
        <v>0.72311831983489938</v>
      </c>
      <c r="E20" s="27"/>
      <c r="F20" s="27"/>
      <c r="G20" s="27">
        <f t="shared" si="3"/>
        <v>0</v>
      </c>
      <c r="H20" s="27">
        <f t="shared" si="0"/>
        <v>0</v>
      </c>
      <c r="I20" s="27">
        <f t="shared" si="6"/>
        <v>0</v>
      </c>
      <c r="J20" s="27">
        <f t="shared" si="6"/>
        <v>0</v>
      </c>
      <c r="K20" s="38">
        <f t="shared" si="7"/>
        <v>2.1359971040493173</v>
      </c>
      <c r="L20" s="38">
        <f t="shared" si="4"/>
        <v>2.1052346885478501</v>
      </c>
      <c r="M20" s="27">
        <f t="shared" si="8"/>
        <v>0</v>
      </c>
      <c r="N20" s="39">
        <f t="shared" si="5"/>
        <v>0</v>
      </c>
    </row>
    <row r="21" spans="1:14" ht="11.85" customHeight="1" x14ac:dyDescent="0.25">
      <c r="B21" s="36" t="s">
        <v>54</v>
      </c>
      <c r="C21" s="37">
        <v>720</v>
      </c>
      <c r="D21" s="38">
        <v>1.589098104850081</v>
      </c>
      <c r="E21" s="27">
        <v>2330.7881151920637</v>
      </c>
      <c r="F21" s="27">
        <v>915.01868701309786</v>
      </c>
      <c r="G21" s="27">
        <f t="shared" si="3"/>
        <v>1678167.4429382859</v>
      </c>
      <c r="H21" s="27">
        <f t="shared" si="0"/>
        <v>658813.45464943047</v>
      </c>
      <c r="I21" s="27">
        <f t="shared" si="6"/>
        <v>2666772.7031943365</v>
      </c>
      <c r="J21" s="27">
        <f t="shared" si="6"/>
        <v>1046919.2122331447</v>
      </c>
      <c r="K21" s="38">
        <f t="shared" si="7"/>
        <v>4.693988323771153</v>
      </c>
      <c r="L21" s="38">
        <f t="shared" si="4"/>
        <v>4.6263859759490789</v>
      </c>
      <c r="M21" s="27">
        <f t="shared" si="8"/>
        <v>7877298.3824852062</v>
      </c>
      <c r="N21" s="39">
        <f t="shared" si="5"/>
        <v>3047925.3273566896</v>
      </c>
    </row>
    <row r="22" spans="1:14" ht="11.85" customHeight="1" x14ac:dyDescent="0.25">
      <c r="B22" s="71" t="s">
        <v>105</v>
      </c>
      <c r="C22" s="37">
        <v>720</v>
      </c>
      <c r="D22" s="38">
        <v>0.79454905242504048</v>
      </c>
      <c r="E22" s="27">
        <v>252.54521814126952</v>
      </c>
      <c r="F22" s="27"/>
      <c r="G22" s="27">
        <f t="shared" si="3"/>
        <v>181832.55706171406</v>
      </c>
      <c r="H22" s="27">
        <f t="shared" si="0"/>
        <v>0</v>
      </c>
      <c r="I22" s="27">
        <f t="shared" si="6"/>
        <v>144474.88591340699</v>
      </c>
      <c r="J22" s="27">
        <f t="shared" si="6"/>
        <v>0</v>
      </c>
      <c r="K22" s="38">
        <f t="shared" si="7"/>
        <v>2.3469941618855765</v>
      </c>
      <c r="L22" s="38">
        <f t="shared" si="4"/>
        <v>2.3131929879745394</v>
      </c>
      <c r="M22" s="27">
        <f t="shared" si="8"/>
        <v>426759.94986456889</v>
      </c>
      <c r="N22" s="39">
        <f t="shared" si="5"/>
        <v>0</v>
      </c>
    </row>
    <row r="23" spans="1:14" ht="11.85" customHeight="1" x14ac:dyDescent="0.25">
      <c r="B23" s="36" t="s">
        <v>55</v>
      </c>
      <c r="C23" s="37">
        <v>744</v>
      </c>
      <c r="D23" s="38">
        <v>2.0615087575532933</v>
      </c>
      <c r="E23" s="27">
        <v>3967.7932905663988</v>
      </c>
      <c r="F23" s="27">
        <v>1469.1558866669909</v>
      </c>
      <c r="G23" s="27">
        <f t="shared" si="3"/>
        <v>2952038.2081814008</v>
      </c>
      <c r="H23" s="27">
        <f t="shared" si="0"/>
        <v>1093051.9796802413</v>
      </c>
      <c r="I23" s="27">
        <f t="shared" si="6"/>
        <v>6085652.6187978899</v>
      </c>
      <c r="J23" s="27">
        <f t="shared" si="6"/>
        <v>2253336.2285717819</v>
      </c>
      <c r="K23" s="38">
        <f t="shared" si="7"/>
        <v>6.0894277123438245</v>
      </c>
      <c r="L23" s="38">
        <f t="shared" si="4"/>
        <v>6.0017283867697646</v>
      </c>
      <c r="M23" s="27">
        <f t="shared" si="8"/>
        <v>17976223.272797629</v>
      </c>
      <c r="N23" s="39">
        <f t="shared" si="5"/>
        <v>6560201.0946617918</v>
      </c>
    </row>
    <row r="24" spans="1:14" ht="11.85" customHeight="1" x14ac:dyDescent="0.25">
      <c r="B24" s="71" t="s">
        <v>106</v>
      </c>
      <c r="C24" s="37">
        <v>744</v>
      </c>
      <c r="D24" s="38">
        <v>1.0307543787766467</v>
      </c>
      <c r="E24" s="27">
        <v>1615.5400427669347</v>
      </c>
      <c r="F24" s="27"/>
      <c r="G24" s="27">
        <f t="shared" si="3"/>
        <v>1201961.7918185994</v>
      </c>
      <c r="H24" s="27">
        <f t="shared" si="0"/>
        <v>0</v>
      </c>
      <c r="I24" s="27">
        <f t="shared" si="6"/>
        <v>1238927.3800392456</v>
      </c>
      <c r="J24" s="27">
        <f t="shared" si="6"/>
        <v>0</v>
      </c>
      <c r="K24" s="38">
        <f t="shared" si="7"/>
        <v>3.0447138561719123</v>
      </c>
      <c r="L24" s="38">
        <f t="shared" si="4"/>
        <v>3.0008641933848823</v>
      </c>
      <c r="M24" s="27">
        <f t="shared" si="8"/>
        <v>3659629.7221393092</v>
      </c>
      <c r="N24" s="39">
        <f t="shared" si="5"/>
        <v>0</v>
      </c>
    </row>
    <row r="25" spans="1:14" ht="11.85" customHeight="1" x14ac:dyDescent="0.25">
      <c r="B25" s="36" t="s">
        <v>56</v>
      </c>
      <c r="C25" s="37">
        <v>744</v>
      </c>
      <c r="D25" s="38">
        <v>2.4055008618198639</v>
      </c>
      <c r="E25" s="27">
        <v>4406.5867586263739</v>
      </c>
      <c r="F25" s="27">
        <v>1625.6383271531261</v>
      </c>
      <c r="G25" s="27">
        <f t="shared" si="3"/>
        <v>3278500.5484180222</v>
      </c>
      <c r="H25" s="27">
        <f t="shared" si="0"/>
        <v>1209474.9154019258</v>
      </c>
      <c r="I25" s="27">
        <f t="shared" si="6"/>
        <v>7886435.8946964489</v>
      </c>
      <c r="J25" s="27">
        <f t="shared" si="6"/>
        <v>2909392.9513488393</v>
      </c>
      <c r="K25" s="38">
        <f t="shared" si="7"/>
        <v>7.1055354755892441</v>
      </c>
      <c r="L25" s="38">
        <f t="shared" si="4"/>
        <v>7.0032022681864285</v>
      </c>
      <c r="M25" s="27">
        <f t="shared" si="8"/>
        <v>23295501.953523051</v>
      </c>
      <c r="N25" s="39">
        <f t="shared" si="5"/>
        <v>8470197.4708573557</v>
      </c>
    </row>
    <row r="26" spans="1:14" ht="11.85" customHeight="1" x14ac:dyDescent="0.25">
      <c r="B26" s="71" t="s">
        <v>107</v>
      </c>
      <c r="C26" s="37">
        <v>744</v>
      </c>
      <c r="D26" s="38">
        <v>1.2027504309099319</v>
      </c>
      <c r="E26" s="27">
        <v>1655.9132413736259</v>
      </c>
      <c r="F26" s="27"/>
      <c r="G26" s="27">
        <f t="shared" si="3"/>
        <v>1231999.4515819775</v>
      </c>
      <c r="H26" s="27">
        <f t="shared" si="0"/>
        <v>0</v>
      </c>
      <c r="I26" s="27">
        <f t="shared" si="6"/>
        <v>1481787.8712710235</v>
      </c>
      <c r="J26" s="27">
        <f t="shared" si="6"/>
        <v>0</v>
      </c>
      <c r="K26" s="38">
        <f t="shared" si="7"/>
        <v>3.5527677377946221</v>
      </c>
      <c r="L26" s="38">
        <f t="shared" si="4"/>
        <v>3.5016011340932143</v>
      </c>
      <c r="M26" s="27">
        <f t="shared" si="8"/>
        <v>4377007.9045611173</v>
      </c>
      <c r="N26" s="39">
        <f t="shared" si="5"/>
        <v>0</v>
      </c>
    </row>
    <row r="27" spans="1:14" ht="11.85" customHeight="1" x14ac:dyDescent="0.25">
      <c r="B27" s="36" t="s">
        <v>57</v>
      </c>
      <c r="C27" s="37">
        <v>672</v>
      </c>
      <c r="D27" s="38">
        <v>1.6208307275701119</v>
      </c>
      <c r="E27" s="27">
        <v>3574.3473635640817</v>
      </c>
      <c r="F27" s="27">
        <v>710.68906476885638</v>
      </c>
      <c r="G27" s="27">
        <f t="shared" si="3"/>
        <v>2401961.428315063</v>
      </c>
      <c r="H27" s="27">
        <f t="shared" si="0"/>
        <v>477583.05152467149</v>
      </c>
      <c r="I27" s="27">
        <f t="shared" ref="I27:J42" si="9">$C27*$D27*E27</f>
        <v>3893172.8894512486</v>
      </c>
      <c r="J27" s="27">
        <f t="shared" si="9"/>
        <v>774081.28487788746</v>
      </c>
      <c r="K27" s="38">
        <f t="shared" si="7"/>
        <v>4.7877223481689182</v>
      </c>
      <c r="L27" s="38">
        <f t="shared" si="4"/>
        <v>4.7187700523531504</v>
      </c>
      <c r="M27" s="27">
        <f t="shared" si="8"/>
        <v>11499924.409783762</v>
      </c>
      <c r="N27" s="39">
        <f t="shared" si="5"/>
        <v>2253604.6010460514</v>
      </c>
    </row>
    <row r="28" spans="1:14" ht="11.85" customHeight="1" x14ac:dyDescent="0.25">
      <c r="B28" s="71" t="s">
        <v>108</v>
      </c>
      <c r="C28" s="37">
        <v>672</v>
      </c>
      <c r="D28" s="38">
        <v>0.81041536378505596</v>
      </c>
      <c r="E28" s="27">
        <v>446.48596976925182</v>
      </c>
      <c r="F28" s="27"/>
      <c r="G28" s="27">
        <f t="shared" si="3"/>
        <v>300038.57168493723</v>
      </c>
      <c r="H28" s="27">
        <f t="shared" si="0"/>
        <v>0</v>
      </c>
      <c r="I28" s="27">
        <f t="shared" si="9"/>
        <v>243155.86822159699</v>
      </c>
      <c r="J28" s="27">
        <f t="shared" si="9"/>
        <v>0</v>
      </c>
      <c r="K28" s="38">
        <f t="shared" si="7"/>
        <v>2.3938611740844591</v>
      </c>
      <c r="L28" s="38">
        <f t="shared" si="4"/>
        <v>2.3593850261765752</v>
      </c>
      <c r="M28" s="27">
        <f t="shared" si="8"/>
        <v>718250.68748432794</v>
      </c>
      <c r="N28" s="39">
        <f t="shared" si="5"/>
        <v>0</v>
      </c>
    </row>
    <row r="29" spans="1:14" ht="11.85" customHeight="1" x14ac:dyDescent="0.25">
      <c r="B29" s="36" t="s">
        <v>58</v>
      </c>
      <c r="C29" s="37">
        <v>744</v>
      </c>
      <c r="D29" s="38">
        <v>1.4745795918631555</v>
      </c>
      <c r="E29" s="27">
        <v>208.33333333333331</v>
      </c>
      <c r="F29" s="27">
        <v>166.66666666666666</v>
      </c>
      <c r="G29" s="27">
        <f t="shared" si="3"/>
        <v>155000</v>
      </c>
      <c r="H29" s="27">
        <f t="shared" si="0"/>
        <v>124000</v>
      </c>
      <c r="I29" s="27">
        <f t="shared" si="9"/>
        <v>228559.83673878908</v>
      </c>
      <c r="J29" s="27">
        <f t="shared" si="9"/>
        <v>182847.86939103127</v>
      </c>
      <c r="K29" s="38">
        <f t="shared" si="7"/>
        <v>4.3557155883273095</v>
      </c>
      <c r="L29" s="38">
        <f t="shared" si="4"/>
        <v>4.2929850104251548</v>
      </c>
      <c r="M29" s="27">
        <f t="shared" si="8"/>
        <v>675135.91619073297</v>
      </c>
      <c r="N29" s="39">
        <f t="shared" si="5"/>
        <v>532330.14129271917</v>
      </c>
    </row>
    <row r="30" spans="1:14" ht="11.85" customHeight="1" x14ac:dyDescent="0.25">
      <c r="B30" s="71" t="s">
        <v>109</v>
      </c>
      <c r="C30" s="37">
        <v>744</v>
      </c>
      <c r="D30" s="38">
        <v>0.73728979593157773</v>
      </c>
      <c r="E30" s="27"/>
      <c r="F30" s="27"/>
      <c r="G30" s="27">
        <f t="shared" si="3"/>
        <v>0</v>
      </c>
      <c r="H30" s="27">
        <f t="shared" si="0"/>
        <v>0</v>
      </c>
      <c r="I30" s="27">
        <f t="shared" si="9"/>
        <v>0</v>
      </c>
      <c r="J30" s="27">
        <f t="shared" si="9"/>
        <v>0</v>
      </c>
      <c r="K30" s="38">
        <f t="shared" si="7"/>
        <v>2.1778577941636548</v>
      </c>
      <c r="L30" s="38">
        <f t="shared" si="4"/>
        <v>2.1464925052125774</v>
      </c>
      <c r="M30" s="27">
        <f t="shared" si="8"/>
        <v>0</v>
      </c>
      <c r="N30" s="39">
        <f t="shared" si="5"/>
        <v>0</v>
      </c>
    </row>
    <row r="31" spans="1:14" ht="11.85" customHeight="1" x14ac:dyDescent="0.25">
      <c r="B31" s="36" t="s">
        <v>47</v>
      </c>
      <c r="C31" s="37">
        <v>720</v>
      </c>
      <c r="D31" s="38">
        <v>1.2700233455128964</v>
      </c>
      <c r="E31" s="27">
        <v>375</v>
      </c>
      <c r="F31" s="27">
        <v>333.33333333333331</v>
      </c>
      <c r="G31" s="27">
        <f t="shared" si="3"/>
        <v>270000</v>
      </c>
      <c r="H31" s="27">
        <f t="shared" si="0"/>
        <v>240000</v>
      </c>
      <c r="I31" s="27">
        <f t="shared" si="9"/>
        <v>342906.30328848207</v>
      </c>
      <c r="J31" s="27">
        <f t="shared" si="9"/>
        <v>304805.60292309511</v>
      </c>
      <c r="K31" s="38">
        <f t="shared" si="7"/>
        <v>3.751483144155364</v>
      </c>
      <c r="L31" s="38">
        <f t="shared" si="4"/>
        <v>3.6974546611539219</v>
      </c>
      <c r="M31" s="27">
        <f t="shared" si="8"/>
        <v>1012900.4489219483</v>
      </c>
      <c r="N31" s="39">
        <f t="shared" si="5"/>
        <v>887389.11867694126</v>
      </c>
    </row>
    <row r="32" spans="1:14" ht="11.85" customHeight="1" x14ac:dyDescent="0.25">
      <c r="B32" s="71" t="s">
        <v>110</v>
      </c>
      <c r="C32" s="37">
        <v>720</v>
      </c>
      <c r="D32" s="38">
        <v>0.63501167275644821</v>
      </c>
      <c r="E32" s="27"/>
      <c r="F32" s="27"/>
      <c r="G32" s="27">
        <f t="shared" si="3"/>
        <v>0</v>
      </c>
      <c r="H32" s="27">
        <f t="shared" si="0"/>
        <v>0</v>
      </c>
      <c r="I32" s="27">
        <f t="shared" si="9"/>
        <v>0</v>
      </c>
      <c r="J32" s="27">
        <f t="shared" si="9"/>
        <v>0</v>
      </c>
      <c r="K32" s="38">
        <f t="shared" si="7"/>
        <v>1.875741572077682</v>
      </c>
      <c r="L32" s="38">
        <f t="shared" si="4"/>
        <v>1.8487273305769609</v>
      </c>
      <c r="M32" s="27">
        <f t="shared" si="8"/>
        <v>0</v>
      </c>
      <c r="N32" s="39">
        <f t="shared" si="5"/>
        <v>0</v>
      </c>
    </row>
    <row r="33" spans="1:14" ht="11.85" customHeight="1" x14ac:dyDescent="0.25">
      <c r="B33" s="36" t="s">
        <v>48</v>
      </c>
      <c r="C33" s="37">
        <v>744</v>
      </c>
      <c r="D33" s="38">
        <v>1.3856564109525178</v>
      </c>
      <c r="E33" s="27">
        <v>375</v>
      </c>
      <c r="F33" s="27">
        <v>333.33333333333331</v>
      </c>
      <c r="G33" s="27">
        <f t="shared" si="3"/>
        <v>279000</v>
      </c>
      <c r="H33" s="27">
        <f t="shared" si="0"/>
        <v>248000</v>
      </c>
      <c r="I33" s="27">
        <f t="shared" si="9"/>
        <v>386598.13865575247</v>
      </c>
      <c r="J33" s="27">
        <f t="shared" si="9"/>
        <v>343642.78991622443</v>
      </c>
      <c r="K33" s="38">
        <f t="shared" si="7"/>
        <v>4.0930481220247801</v>
      </c>
      <c r="L33" s="38">
        <f t="shared" si="4"/>
        <v>4.0341004545590664</v>
      </c>
      <c r="M33" s="27">
        <f t="shared" si="8"/>
        <v>1141960.4260449137</v>
      </c>
      <c r="N33" s="39">
        <f t="shared" si="5"/>
        <v>1000456.9127306484</v>
      </c>
    </row>
    <row r="34" spans="1:14" ht="11.85" customHeight="1" x14ac:dyDescent="0.25">
      <c r="B34" s="71" t="s">
        <v>111</v>
      </c>
      <c r="C34" s="37">
        <v>744</v>
      </c>
      <c r="D34" s="38">
        <v>0.6928282054762589</v>
      </c>
      <c r="E34" s="27"/>
      <c r="F34" s="27"/>
      <c r="G34" s="27">
        <f t="shared" si="3"/>
        <v>0</v>
      </c>
      <c r="H34" s="27">
        <f t="shared" si="0"/>
        <v>0</v>
      </c>
      <c r="I34" s="27">
        <f t="shared" si="9"/>
        <v>0</v>
      </c>
      <c r="J34" s="27">
        <f t="shared" si="9"/>
        <v>0</v>
      </c>
      <c r="K34" s="38">
        <f t="shared" si="7"/>
        <v>2.04652406101239</v>
      </c>
      <c r="L34" s="38">
        <f t="shared" si="4"/>
        <v>2.0170502272795332</v>
      </c>
      <c r="M34" s="27">
        <f t="shared" si="8"/>
        <v>0</v>
      </c>
      <c r="N34" s="39">
        <f t="shared" si="5"/>
        <v>0</v>
      </c>
    </row>
    <row r="35" spans="1:14" ht="11.85" customHeight="1" x14ac:dyDescent="0.25">
      <c r="B35" s="36" t="s">
        <v>49</v>
      </c>
      <c r="C35" s="37">
        <v>720</v>
      </c>
      <c r="D35" s="38">
        <v>1.057597793423894</v>
      </c>
      <c r="E35" s="27">
        <v>375</v>
      </c>
      <c r="F35" s="27">
        <v>333.33333333333331</v>
      </c>
      <c r="G35" s="27">
        <f t="shared" si="3"/>
        <v>270000</v>
      </c>
      <c r="H35" s="27">
        <f t="shared" si="0"/>
        <v>240000</v>
      </c>
      <c r="I35" s="27">
        <f t="shared" si="9"/>
        <v>285551.4042244514</v>
      </c>
      <c r="J35" s="27">
        <f t="shared" si="9"/>
        <v>253823.47042173453</v>
      </c>
      <c r="K35" s="38">
        <f t="shared" si="7"/>
        <v>3.1240057982740104</v>
      </c>
      <c r="L35" s="38">
        <f t="shared" si="4"/>
        <v>3.0790141809102449</v>
      </c>
      <c r="M35" s="27">
        <f t="shared" si="8"/>
        <v>843481.56553398282</v>
      </c>
      <c r="N35" s="39">
        <f t="shared" si="5"/>
        <v>738963.40341845877</v>
      </c>
    </row>
    <row r="36" spans="1:14" ht="11.85" customHeight="1" x14ac:dyDescent="0.25">
      <c r="B36" s="71" t="s">
        <v>112</v>
      </c>
      <c r="C36" s="37">
        <v>720</v>
      </c>
      <c r="D36" s="38">
        <v>0.52879889671194702</v>
      </c>
      <c r="E36" s="27"/>
      <c r="F36" s="27"/>
      <c r="G36" s="27">
        <f t="shared" si="3"/>
        <v>0</v>
      </c>
      <c r="H36" s="27">
        <f t="shared" si="0"/>
        <v>0</v>
      </c>
      <c r="I36" s="27">
        <f t="shared" si="9"/>
        <v>0</v>
      </c>
      <c r="J36" s="27">
        <f t="shared" si="9"/>
        <v>0</v>
      </c>
      <c r="K36" s="38">
        <f t="shared" si="7"/>
        <v>1.5620028991370052</v>
      </c>
      <c r="L36" s="38">
        <f t="shared" si="4"/>
        <v>1.5395070904551225</v>
      </c>
      <c r="M36" s="27">
        <f t="shared" si="8"/>
        <v>0</v>
      </c>
      <c r="N36" s="39">
        <f t="shared" si="5"/>
        <v>0</v>
      </c>
    </row>
    <row r="37" spans="1:14" ht="11.85" customHeight="1" x14ac:dyDescent="0.25">
      <c r="B37" s="36" t="s">
        <v>50</v>
      </c>
      <c r="C37" s="37">
        <v>744</v>
      </c>
      <c r="D37" s="38">
        <v>1.2922988118379253</v>
      </c>
      <c r="E37" s="27">
        <v>145.83333333333334</v>
      </c>
      <c r="F37" s="27">
        <v>104.16666666666667</v>
      </c>
      <c r="G37" s="27">
        <f t="shared" si="3"/>
        <v>108500</v>
      </c>
      <c r="H37" s="27">
        <f t="shared" si="0"/>
        <v>77500</v>
      </c>
      <c r="I37" s="27">
        <f t="shared" si="9"/>
        <v>140214.42108441491</v>
      </c>
      <c r="J37" s="27">
        <f t="shared" si="9"/>
        <v>100153.15791743921</v>
      </c>
      <c r="K37" s="38">
        <f t="shared" si="7"/>
        <v>3.8172819633202182</v>
      </c>
      <c r="L37" s="38">
        <f t="shared" si="4"/>
        <v>3.7623058523417447</v>
      </c>
      <c r="M37" s="27">
        <f t="shared" si="8"/>
        <v>414175.09302024369</v>
      </c>
      <c r="N37" s="39">
        <f t="shared" si="5"/>
        <v>291578.70355648524</v>
      </c>
    </row>
    <row r="38" spans="1:14" ht="11.85" customHeight="1" x14ac:dyDescent="0.25">
      <c r="B38" s="71" t="s">
        <v>113</v>
      </c>
      <c r="C38" s="37">
        <v>744</v>
      </c>
      <c r="D38" s="38">
        <v>0.64614940591896264</v>
      </c>
      <c r="E38" s="27"/>
      <c r="F38" s="27"/>
      <c r="G38" s="27">
        <f t="shared" si="3"/>
        <v>0</v>
      </c>
      <c r="H38" s="27">
        <f t="shared" si="0"/>
        <v>0</v>
      </c>
      <c r="I38" s="27">
        <f t="shared" si="9"/>
        <v>0</v>
      </c>
      <c r="J38" s="27">
        <f t="shared" si="9"/>
        <v>0</v>
      </c>
      <c r="K38" s="38">
        <f t="shared" si="7"/>
        <v>1.9086409816601091</v>
      </c>
      <c r="L38" s="38">
        <f t="shared" si="4"/>
        <v>1.8811529261708724</v>
      </c>
      <c r="M38" s="27">
        <f t="shared" si="8"/>
        <v>0</v>
      </c>
      <c r="N38" s="39">
        <f t="shared" si="5"/>
        <v>0</v>
      </c>
    </row>
    <row r="39" spans="1:14" ht="11.85" customHeight="1" x14ac:dyDescent="0.25">
      <c r="B39" s="36" t="s">
        <v>51</v>
      </c>
      <c r="C39" s="37">
        <v>744</v>
      </c>
      <c r="D39" s="38">
        <v>1.2420406161851245</v>
      </c>
      <c r="E39" s="27">
        <v>41.666666666666664</v>
      </c>
      <c r="F39" s="27"/>
      <c r="G39" s="27">
        <f t="shared" si="3"/>
        <v>31000</v>
      </c>
      <c r="H39" s="27">
        <f t="shared" si="0"/>
        <v>0</v>
      </c>
      <c r="I39" s="27">
        <f t="shared" si="9"/>
        <v>38503.259101738855</v>
      </c>
      <c r="J39" s="27">
        <f t="shared" si="9"/>
        <v>0</v>
      </c>
      <c r="K39" s="38">
        <f t="shared" si="7"/>
        <v>3.6688258152397264</v>
      </c>
      <c r="L39" s="38">
        <f t="shared" si="4"/>
        <v>3.6159877547774926</v>
      </c>
      <c r="M39" s="27">
        <f t="shared" si="8"/>
        <v>113733.60027243152</v>
      </c>
      <c r="N39" s="39">
        <f t="shared" si="5"/>
        <v>0</v>
      </c>
    </row>
    <row r="40" spans="1:14" ht="11.85" customHeight="1" x14ac:dyDescent="0.25">
      <c r="B40" s="71" t="s">
        <v>114</v>
      </c>
      <c r="C40" s="37">
        <v>744</v>
      </c>
      <c r="D40" s="38">
        <v>0.62102030809256226</v>
      </c>
      <c r="E40" s="27"/>
      <c r="F40" s="27"/>
      <c r="G40" s="27">
        <f t="shared" si="3"/>
        <v>0</v>
      </c>
      <c r="H40" s="27">
        <f t="shared" si="0"/>
        <v>0</v>
      </c>
      <c r="I40" s="27">
        <f t="shared" si="9"/>
        <v>0</v>
      </c>
      <c r="J40" s="27">
        <f t="shared" si="9"/>
        <v>0</v>
      </c>
      <c r="K40" s="38">
        <f t="shared" si="7"/>
        <v>1.8344129076198632</v>
      </c>
      <c r="L40" s="38">
        <f t="shared" si="4"/>
        <v>1.8079938773887463</v>
      </c>
      <c r="M40" s="27">
        <f t="shared" si="8"/>
        <v>0</v>
      </c>
      <c r="N40" s="39">
        <f t="shared" si="5"/>
        <v>0</v>
      </c>
    </row>
    <row r="41" spans="1:14" ht="11.85" customHeight="1" x14ac:dyDescent="0.25">
      <c r="B41" s="36" t="s">
        <v>52</v>
      </c>
      <c r="C41" s="37">
        <v>720</v>
      </c>
      <c r="D41" s="38">
        <v>1.1546283387613396</v>
      </c>
      <c r="E41" s="27">
        <v>41.666666666666664</v>
      </c>
      <c r="F41" s="27"/>
      <c r="G41" s="27">
        <f t="shared" si="3"/>
        <v>30000</v>
      </c>
      <c r="H41" s="27">
        <f t="shared" si="0"/>
        <v>0</v>
      </c>
      <c r="I41" s="27">
        <f t="shared" si="9"/>
        <v>34638.850162840186</v>
      </c>
      <c r="J41" s="27">
        <f t="shared" si="9"/>
        <v>0</v>
      </c>
      <c r="K41" s="38">
        <f t="shared" si="7"/>
        <v>3.4106213605687539</v>
      </c>
      <c r="L41" s="38">
        <f t="shared" si="4"/>
        <v>3.361501934698234</v>
      </c>
      <c r="M41" s="27">
        <f t="shared" si="8"/>
        <v>102318.64081706261</v>
      </c>
      <c r="N41" s="39">
        <f t="shared" si="5"/>
        <v>0</v>
      </c>
    </row>
    <row r="42" spans="1:14" ht="11.85" customHeight="1" x14ac:dyDescent="0.25">
      <c r="B42" s="71" t="s">
        <v>115</v>
      </c>
      <c r="C42" s="37">
        <v>720</v>
      </c>
      <c r="D42" s="38">
        <v>0.57731416938066982</v>
      </c>
      <c r="E42" s="27"/>
      <c r="F42" s="27"/>
      <c r="G42" s="27">
        <f t="shared" si="3"/>
        <v>0</v>
      </c>
      <c r="H42" s="27">
        <f t="shared" si="0"/>
        <v>0</v>
      </c>
      <c r="I42" s="27">
        <f t="shared" si="9"/>
        <v>0</v>
      </c>
      <c r="J42" s="27">
        <f t="shared" si="9"/>
        <v>0</v>
      </c>
      <c r="K42" s="38">
        <f t="shared" si="7"/>
        <v>1.7053106802843769</v>
      </c>
      <c r="L42" s="38">
        <f t="shared" si="4"/>
        <v>1.680750967349117</v>
      </c>
      <c r="M42" s="27">
        <f t="shared" si="8"/>
        <v>0</v>
      </c>
      <c r="N42" s="39">
        <f t="shared" si="5"/>
        <v>0</v>
      </c>
    </row>
    <row r="43" spans="1:14" ht="12" customHeight="1" thickBot="1" x14ac:dyDescent="0.3">
      <c r="B43" s="40" t="s">
        <v>0</v>
      </c>
      <c r="C43" s="41"/>
      <c r="D43" s="42"/>
      <c r="E43" s="43"/>
      <c r="F43" s="43"/>
      <c r="G43" s="43">
        <f>SUM(G7:G42)</f>
        <v>291403323.44787949</v>
      </c>
      <c r="H43" s="43">
        <f>SUM(H7:H42)</f>
        <v>311120799.20949161</v>
      </c>
      <c r="I43" s="43">
        <f>SUM(I7:I42)</f>
        <v>305870935.92897332</v>
      </c>
      <c r="J43" s="43">
        <f>SUM(J7:J42)</f>
        <v>310340427.55955261</v>
      </c>
      <c r="K43" s="42"/>
      <c r="L43" s="42"/>
      <c r="M43" s="43">
        <f>SUM(M7:M42)</f>
        <v>903502809.20321584</v>
      </c>
      <c r="N43" s="44">
        <f>SUM(N7:N42)</f>
        <v>903502809.20321655</v>
      </c>
    </row>
    <row r="44" spans="1:14" ht="12" customHeight="1" thickTop="1" x14ac:dyDescent="0.25">
      <c r="B44" s="45"/>
      <c r="C44" s="46"/>
      <c r="I44" s="24">
        <v>179177833.23152</v>
      </c>
      <c r="J44" s="24">
        <v>182820918.03259999</v>
      </c>
      <c r="K44" s="23"/>
      <c r="L44" s="23"/>
      <c r="M44" s="23"/>
      <c r="N44" s="23"/>
    </row>
    <row r="45" spans="1:14" ht="12" customHeight="1" x14ac:dyDescent="0.25">
      <c r="B45" s="45"/>
      <c r="C45" s="46"/>
      <c r="K45" s="23"/>
      <c r="L45" s="23"/>
      <c r="M45" s="23"/>
      <c r="N45" s="23"/>
    </row>
    <row r="46" spans="1:14" ht="11.85" customHeight="1" x14ac:dyDescent="0.25">
      <c r="B46" s="45"/>
      <c r="C46" s="46"/>
      <c r="J46" s="29"/>
      <c r="M46" s="47">
        <f>M43-E3*1000</f>
        <v>0</v>
      </c>
      <c r="N46" s="47">
        <f>N43-F3*1000</f>
        <v>0</v>
      </c>
    </row>
    <row r="48" spans="1:14" s="24" customFormat="1" ht="11.85" customHeight="1" x14ac:dyDescent="0.25">
      <c r="A48" s="23"/>
      <c r="B48" s="23" t="s">
        <v>59</v>
      </c>
      <c r="C48" s="24">
        <f>C2-C3</f>
        <v>318883.34442466474</v>
      </c>
    </row>
    <row r="49" spans="1:5" s="24" customFormat="1" ht="11.85" customHeight="1" x14ac:dyDescent="0.25">
      <c r="A49" s="23"/>
      <c r="B49" s="23" t="s">
        <v>60</v>
      </c>
      <c r="C49" s="24">
        <f>'Multiplicatori 21-22-TAR'!F32</f>
        <v>264287607.0605405</v>
      </c>
    </row>
    <row r="51" spans="1:5" s="24" customFormat="1" ht="11.85" customHeight="1" x14ac:dyDescent="0.25">
      <c r="A51" s="23"/>
      <c r="B51" s="23" t="s">
        <v>61</v>
      </c>
      <c r="C51" s="29">
        <f>(C48*1000)/C49</f>
        <v>1.2065769862285596</v>
      </c>
      <c r="D51" s="48"/>
      <c r="E51" s="49"/>
    </row>
    <row r="52" spans="1:5" s="24" customFormat="1" ht="11.85" customHeight="1" x14ac:dyDescent="0.25">
      <c r="A52" s="23"/>
      <c r="B52" s="50"/>
      <c r="C52" s="51"/>
      <c r="D52" s="29"/>
      <c r="E52" s="25"/>
    </row>
    <row r="53" spans="1:5" s="24" customFormat="1" ht="11.85" customHeight="1" x14ac:dyDescent="0.25">
      <c r="A53" s="23"/>
      <c r="B53" s="50"/>
      <c r="C53" s="51"/>
      <c r="D53" s="29"/>
      <c r="E53" s="25"/>
    </row>
    <row r="54" spans="1:5" s="24" customFormat="1" ht="11.85" customHeight="1" x14ac:dyDescent="0.25">
      <c r="A54" s="23"/>
      <c r="B54" s="23" t="s">
        <v>62</v>
      </c>
      <c r="C54" s="29">
        <f>C2*1000/C49</f>
        <v>8.04384657485706</v>
      </c>
      <c r="D54" s="29"/>
      <c r="E54" s="52"/>
    </row>
    <row r="55" spans="1:5" s="24" customFormat="1" ht="11.85" customHeight="1" x14ac:dyDescent="0.25">
      <c r="A55" s="23"/>
      <c r="B55" s="23"/>
      <c r="C55" s="29"/>
      <c r="D55" s="29"/>
      <c r="E55" s="52"/>
    </row>
  </sheetData>
  <mergeCells count="5"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2:X54"/>
  <sheetViews>
    <sheetView topLeftCell="A12" zoomScale="110" zoomScaleNormal="110" workbookViewId="0">
      <selection activeCell="C7" sqref="C7:F42"/>
    </sheetView>
  </sheetViews>
  <sheetFormatPr defaultColWidth="9" defaultRowHeight="11.85" customHeight="1" x14ac:dyDescent="0.25"/>
  <cols>
    <col min="1" max="1" width="9" style="23"/>
    <col min="2" max="2" width="44.28515625" style="23" customWidth="1"/>
    <col min="3" max="3" width="14" style="24" bestFit="1" customWidth="1"/>
    <col min="4" max="24" width="11.140625" style="24" customWidth="1"/>
    <col min="25" max="255" width="9" style="23"/>
    <col min="256" max="256" width="35.28515625" style="23" customWidth="1"/>
    <col min="257" max="280" width="11.140625" style="23" customWidth="1"/>
    <col min="281" max="511" width="9" style="23"/>
    <col min="512" max="512" width="35.28515625" style="23" customWidth="1"/>
    <col min="513" max="536" width="11.140625" style="23" customWidth="1"/>
    <col min="537" max="767" width="9" style="23"/>
    <col min="768" max="768" width="35.28515625" style="23" customWidth="1"/>
    <col min="769" max="792" width="11.140625" style="23" customWidth="1"/>
    <col min="793" max="1023" width="9" style="23"/>
    <col min="1024" max="1024" width="35.28515625" style="23" customWidth="1"/>
    <col min="1025" max="1048" width="11.140625" style="23" customWidth="1"/>
    <col min="1049" max="1279" width="9" style="23"/>
    <col min="1280" max="1280" width="35.28515625" style="23" customWidth="1"/>
    <col min="1281" max="1304" width="11.140625" style="23" customWidth="1"/>
    <col min="1305" max="1535" width="9" style="23"/>
    <col min="1536" max="1536" width="35.28515625" style="23" customWidth="1"/>
    <col min="1537" max="1560" width="11.140625" style="23" customWidth="1"/>
    <col min="1561" max="1791" width="9" style="23"/>
    <col min="1792" max="1792" width="35.28515625" style="23" customWidth="1"/>
    <col min="1793" max="1816" width="11.140625" style="23" customWidth="1"/>
    <col min="1817" max="2047" width="9" style="23"/>
    <col min="2048" max="2048" width="35.28515625" style="23" customWidth="1"/>
    <col min="2049" max="2072" width="11.140625" style="23" customWidth="1"/>
    <col min="2073" max="2303" width="9" style="23"/>
    <col min="2304" max="2304" width="35.28515625" style="23" customWidth="1"/>
    <col min="2305" max="2328" width="11.140625" style="23" customWidth="1"/>
    <col min="2329" max="2559" width="9" style="23"/>
    <col min="2560" max="2560" width="35.28515625" style="23" customWidth="1"/>
    <col min="2561" max="2584" width="11.140625" style="23" customWidth="1"/>
    <col min="2585" max="2815" width="9" style="23"/>
    <col min="2816" max="2816" width="35.28515625" style="23" customWidth="1"/>
    <col min="2817" max="2840" width="11.140625" style="23" customWidth="1"/>
    <col min="2841" max="3071" width="9" style="23"/>
    <col min="3072" max="3072" width="35.28515625" style="23" customWidth="1"/>
    <col min="3073" max="3096" width="11.140625" style="23" customWidth="1"/>
    <col min="3097" max="3327" width="9" style="23"/>
    <col min="3328" max="3328" width="35.28515625" style="23" customWidth="1"/>
    <col min="3329" max="3352" width="11.140625" style="23" customWidth="1"/>
    <col min="3353" max="3583" width="9" style="23"/>
    <col min="3584" max="3584" width="35.28515625" style="23" customWidth="1"/>
    <col min="3585" max="3608" width="11.140625" style="23" customWidth="1"/>
    <col min="3609" max="3839" width="9" style="23"/>
    <col min="3840" max="3840" width="35.28515625" style="23" customWidth="1"/>
    <col min="3841" max="3864" width="11.140625" style="23" customWidth="1"/>
    <col min="3865" max="4095" width="9" style="23"/>
    <col min="4096" max="4096" width="35.28515625" style="23" customWidth="1"/>
    <col min="4097" max="4120" width="11.140625" style="23" customWidth="1"/>
    <col min="4121" max="4351" width="9" style="23"/>
    <col min="4352" max="4352" width="35.28515625" style="23" customWidth="1"/>
    <col min="4353" max="4376" width="11.140625" style="23" customWidth="1"/>
    <col min="4377" max="4607" width="9" style="23"/>
    <col min="4608" max="4608" width="35.28515625" style="23" customWidth="1"/>
    <col min="4609" max="4632" width="11.140625" style="23" customWidth="1"/>
    <col min="4633" max="4863" width="9" style="23"/>
    <col min="4864" max="4864" width="35.28515625" style="23" customWidth="1"/>
    <col min="4865" max="4888" width="11.140625" style="23" customWidth="1"/>
    <col min="4889" max="5119" width="9" style="23"/>
    <col min="5120" max="5120" width="35.28515625" style="23" customWidth="1"/>
    <col min="5121" max="5144" width="11.140625" style="23" customWidth="1"/>
    <col min="5145" max="5375" width="9" style="23"/>
    <col min="5376" max="5376" width="35.28515625" style="23" customWidth="1"/>
    <col min="5377" max="5400" width="11.140625" style="23" customWidth="1"/>
    <col min="5401" max="5631" width="9" style="23"/>
    <col min="5632" max="5632" width="35.28515625" style="23" customWidth="1"/>
    <col min="5633" max="5656" width="11.140625" style="23" customWidth="1"/>
    <col min="5657" max="5887" width="9" style="23"/>
    <col min="5888" max="5888" width="35.28515625" style="23" customWidth="1"/>
    <col min="5889" max="5912" width="11.140625" style="23" customWidth="1"/>
    <col min="5913" max="6143" width="9" style="23"/>
    <col min="6144" max="6144" width="35.28515625" style="23" customWidth="1"/>
    <col min="6145" max="6168" width="11.140625" style="23" customWidth="1"/>
    <col min="6169" max="6399" width="9" style="23"/>
    <col min="6400" max="6400" width="35.28515625" style="23" customWidth="1"/>
    <col min="6401" max="6424" width="11.140625" style="23" customWidth="1"/>
    <col min="6425" max="6655" width="9" style="23"/>
    <col min="6656" max="6656" width="35.28515625" style="23" customWidth="1"/>
    <col min="6657" max="6680" width="11.140625" style="23" customWidth="1"/>
    <col min="6681" max="6911" width="9" style="23"/>
    <col min="6912" max="6912" width="35.28515625" style="23" customWidth="1"/>
    <col min="6913" max="6936" width="11.140625" style="23" customWidth="1"/>
    <col min="6937" max="7167" width="9" style="23"/>
    <col min="7168" max="7168" width="35.28515625" style="23" customWidth="1"/>
    <col min="7169" max="7192" width="11.140625" style="23" customWidth="1"/>
    <col min="7193" max="7423" width="9" style="23"/>
    <col min="7424" max="7424" width="35.28515625" style="23" customWidth="1"/>
    <col min="7425" max="7448" width="11.140625" style="23" customWidth="1"/>
    <col min="7449" max="7679" width="9" style="23"/>
    <col min="7680" max="7680" width="35.28515625" style="23" customWidth="1"/>
    <col min="7681" max="7704" width="11.140625" style="23" customWidth="1"/>
    <col min="7705" max="7935" width="9" style="23"/>
    <col min="7936" max="7936" width="35.28515625" style="23" customWidth="1"/>
    <col min="7937" max="7960" width="11.140625" style="23" customWidth="1"/>
    <col min="7961" max="8191" width="9" style="23"/>
    <col min="8192" max="8192" width="35.28515625" style="23" customWidth="1"/>
    <col min="8193" max="8216" width="11.140625" style="23" customWidth="1"/>
    <col min="8217" max="8447" width="9" style="23"/>
    <col min="8448" max="8448" width="35.28515625" style="23" customWidth="1"/>
    <col min="8449" max="8472" width="11.140625" style="23" customWidth="1"/>
    <col min="8473" max="8703" width="9" style="23"/>
    <col min="8704" max="8704" width="35.28515625" style="23" customWidth="1"/>
    <col min="8705" max="8728" width="11.140625" style="23" customWidth="1"/>
    <col min="8729" max="8959" width="9" style="23"/>
    <col min="8960" max="8960" width="35.28515625" style="23" customWidth="1"/>
    <col min="8961" max="8984" width="11.140625" style="23" customWidth="1"/>
    <col min="8985" max="9215" width="9" style="23"/>
    <col min="9216" max="9216" width="35.28515625" style="23" customWidth="1"/>
    <col min="9217" max="9240" width="11.140625" style="23" customWidth="1"/>
    <col min="9241" max="9471" width="9" style="23"/>
    <col min="9472" max="9472" width="35.28515625" style="23" customWidth="1"/>
    <col min="9473" max="9496" width="11.140625" style="23" customWidth="1"/>
    <col min="9497" max="9727" width="9" style="23"/>
    <col min="9728" max="9728" width="35.28515625" style="23" customWidth="1"/>
    <col min="9729" max="9752" width="11.140625" style="23" customWidth="1"/>
    <col min="9753" max="9983" width="9" style="23"/>
    <col min="9984" max="9984" width="35.28515625" style="23" customWidth="1"/>
    <col min="9985" max="10008" width="11.140625" style="23" customWidth="1"/>
    <col min="10009" max="10239" width="9" style="23"/>
    <col min="10240" max="10240" width="35.28515625" style="23" customWidth="1"/>
    <col min="10241" max="10264" width="11.140625" style="23" customWidth="1"/>
    <col min="10265" max="10495" width="9" style="23"/>
    <col min="10496" max="10496" width="35.28515625" style="23" customWidth="1"/>
    <col min="10497" max="10520" width="11.140625" style="23" customWidth="1"/>
    <col min="10521" max="10751" width="9" style="23"/>
    <col min="10752" max="10752" width="35.28515625" style="23" customWidth="1"/>
    <col min="10753" max="10776" width="11.140625" style="23" customWidth="1"/>
    <col min="10777" max="11007" width="9" style="23"/>
    <col min="11008" max="11008" width="35.28515625" style="23" customWidth="1"/>
    <col min="11009" max="11032" width="11.140625" style="23" customWidth="1"/>
    <col min="11033" max="11263" width="9" style="23"/>
    <col min="11264" max="11264" width="35.28515625" style="23" customWidth="1"/>
    <col min="11265" max="11288" width="11.140625" style="23" customWidth="1"/>
    <col min="11289" max="11519" width="9" style="23"/>
    <col min="11520" max="11520" width="35.28515625" style="23" customWidth="1"/>
    <col min="11521" max="11544" width="11.140625" style="23" customWidth="1"/>
    <col min="11545" max="11775" width="9" style="23"/>
    <col min="11776" max="11776" width="35.28515625" style="23" customWidth="1"/>
    <col min="11777" max="11800" width="11.140625" style="23" customWidth="1"/>
    <col min="11801" max="12031" width="9" style="23"/>
    <col min="12032" max="12032" width="35.28515625" style="23" customWidth="1"/>
    <col min="12033" max="12056" width="11.140625" style="23" customWidth="1"/>
    <col min="12057" max="12287" width="9" style="23"/>
    <col min="12288" max="12288" width="35.28515625" style="23" customWidth="1"/>
    <col min="12289" max="12312" width="11.140625" style="23" customWidth="1"/>
    <col min="12313" max="12543" width="9" style="23"/>
    <col min="12544" max="12544" width="35.28515625" style="23" customWidth="1"/>
    <col min="12545" max="12568" width="11.140625" style="23" customWidth="1"/>
    <col min="12569" max="12799" width="9" style="23"/>
    <col min="12800" max="12800" width="35.28515625" style="23" customWidth="1"/>
    <col min="12801" max="12824" width="11.140625" style="23" customWidth="1"/>
    <col min="12825" max="13055" width="9" style="23"/>
    <col min="13056" max="13056" width="35.28515625" style="23" customWidth="1"/>
    <col min="13057" max="13080" width="11.140625" style="23" customWidth="1"/>
    <col min="13081" max="13311" width="9" style="23"/>
    <col min="13312" max="13312" width="35.28515625" style="23" customWidth="1"/>
    <col min="13313" max="13336" width="11.140625" style="23" customWidth="1"/>
    <col min="13337" max="13567" width="9" style="23"/>
    <col min="13568" max="13568" width="35.28515625" style="23" customWidth="1"/>
    <col min="13569" max="13592" width="11.140625" style="23" customWidth="1"/>
    <col min="13593" max="13823" width="9" style="23"/>
    <col min="13824" max="13824" width="35.28515625" style="23" customWidth="1"/>
    <col min="13825" max="13848" width="11.140625" style="23" customWidth="1"/>
    <col min="13849" max="14079" width="9" style="23"/>
    <col min="14080" max="14080" width="35.28515625" style="23" customWidth="1"/>
    <col min="14081" max="14104" width="11.140625" style="23" customWidth="1"/>
    <col min="14105" max="14335" width="9" style="23"/>
    <col min="14336" max="14336" width="35.28515625" style="23" customWidth="1"/>
    <col min="14337" max="14360" width="11.140625" style="23" customWidth="1"/>
    <col min="14361" max="14591" width="9" style="23"/>
    <col min="14592" max="14592" width="35.28515625" style="23" customWidth="1"/>
    <col min="14593" max="14616" width="11.140625" style="23" customWidth="1"/>
    <col min="14617" max="14847" width="9" style="23"/>
    <col min="14848" max="14848" width="35.28515625" style="23" customWidth="1"/>
    <col min="14849" max="14872" width="11.140625" style="23" customWidth="1"/>
    <col min="14873" max="15103" width="9" style="23"/>
    <col min="15104" max="15104" width="35.28515625" style="23" customWidth="1"/>
    <col min="15105" max="15128" width="11.140625" style="23" customWidth="1"/>
    <col min="15129" max="15359" width="9" style="23"/>
    <col min="15360" max="15360" width="35.28515625" style="23" customWidth="1"/>
    <col min="15361" max="15384" width="11.140625" style="23" customWidth="1"/>
    <col min="15385" max="15615" width="9" style="23"/>
    <col min="15616" max="15616" width="35.28515625" style="23" customWidth="1"/>
    <col min="15617" max="15640" width="11.140625" style="23" customWidth="1"/>
    <col min="15641" max="15871" width="9" style="23"/>
    <col min="15872" max="15872" width="35.28515625" style="23" customWidth="1"/>
    <col min="15873" max="15896" width="11.140625" style="23" customWidth="1"/>
    <col min="15897" max="16127" width="9" style="23"/>
    <col min="16128" max="16128" width="35.28515625" style="23" customWidth="1"/>
    <col min="16129" max="16152" width="11.140625" style="23" customWidth="1"/>
    <col min="16153" max="16384" width="9" style="23"/>
  </cols>
  <sheetData>
    <row r="2" spans="1:14" ht="11.85" customHeight="1" x14ac:dyDescent="0.25">
      <c r="B2" s="23" t="s">
        <v>95</v>
      </c>
      <c r="C2" s="24">
        <f>ipoteze!B13</f>
        <v>2156363.3051613551</v>
      </c>
    </row>
    <row r="3" spans="1:14" ht="11.85" customHeight="1" x14ac:dyDescent="0.25">
      <c r="B3" s="23" t="s">
        <v>31</v>
      </c>
      <c r="C3" s="25">
        <f>C2*D3</f>
        <v>1832908.8093871519</v>
      </c>
      <c r="D3" s="26">
        <v>0.85</v>
      </c>
      <c r="E3" s="27">
        <f>C3*C4</f>
        <v>916454.40469357593</v>
      </c>
      <c r="F3" s="27">
        <f>C3*C4</f>
        <v>916454.40469357593</v>
      </c>
      <c r="G3" s="28"/>
      <c r="H3" s="28"/>
    </row>
    <row r="4" spans="1:14" ht="12" customHeight="1" thickBot="1" x14ac:dyDescent="0.3">
      <c r="B4" s="23" t="s">
        <v>32</v>
      </c>
      <c r="C4" s="29">
        <v>0.5</v>
      </c>
    </row>
    <row r="5" spans="1:14" ht="23.85" customHeight="1" thickTop="1" x14ac:dyDescent="0.25">
      <c r="B5" s="30"/>
      <c r="C5" s="31"/>
      <c r="D5" s="31"/>
      <c r="E5" s="32" t="s">
        <v>33</v>
      </c>
      <c r="F5" s="32" t="s">
        <v>34</v>
      </c>
      <c r="G5" s="32" t="s">
        <v>33</v>
      </c>
      <c r="H5" s="32" t="s">
        <v>34</v>
      </c>
      <c r="I5" s="32" t="s">
        <v>33</v>
      </c>
      <c r="J5" s="32" t="s">
        <v>34</v>
      </c>
      <c r="K5" s="32" t="s">
        <v>33</v>
      </c>
      <c r="L5" s="32" t="s">
        <v>34</v>
      </c>
      <c r="M5" s="32" t="s">
        <v>33</v>
      </c>
      <c r="N5" s="33" t="s">
        <v>34</v>
      </c>
    </row>
    <row r="6" spans="1:14" ht="11.85" customHeight="1" x14ac:dyDescent="0.25">
      <c r="B6" s="34" t="s">
        <v>35</v>
      </c>
      <c r="C6" s="35" t="s">
        <v>36</v>
      </c>
      <c r="D6" s="35" t="s">
        <v>37</v>
      </c>
      <c r="E6" s="472" t="s">
        <v>38</v>
      </c>
      <c r="F6" s="474"/>
      <c r="G6" s="472" t="s">
        <v>39</v>
      </c>
      <c r="H6" s="474"/>
      <c r="I6" s="472" t="s">
        <v>40</v>
      </c>
      <c r="J6" s="474"/>
      <c r="K6" s="472" t="s">
        <v>41</v>
      </c>
      <c r="L6" s="474"/>
      <c r="M6" s="472" t="s">
        <v>42</v>
      </c>
      <c r="N6" s="473"/>
    </row>
    <row r="7" spans="1:14" ht="11.85" customHeight="1" x14ac:dyDescent="0.25">
      <c r="B7" s="36" t="s">
        <v>43</v>
      </c>
      <c r="C7" s="37">
        <v>8760</v>
      </c>
      <c r="D7" s="27"/>
      <c r="E7" s="27">
        <f>'ESTIMARE I_E-22-23'!G5+'Estimare T1 18-19'!G9-'ESTIMARE I_E-22-23'!G6</f>
        <v>31708.404879301383</v>
      </c>
      <c r="F7" s="27">
        <f>'ESTIMARE I_E-22-23'!G12+'Estimare T1 18-19'!G9-'ESTIMARE I_E-22-23'!G15</f>
        <v>35645.273527392586</v>
      </c>
      <c r="G7" s="27">
        <f>+E7*C7</f>
        <v>277765626.74268013</v>
      </c>
      <c r="H7" s="27">
        <f>+F7*C7</f>
        <v>312252596.09995908</v>
      </c>
      <c r="I7" s="27">
        <f>C7*E7</f>
        <v>277765626.74268013</v>
      </c>
      <c r="J7" s="27">
        <f>C7*F7</f>
        <v>312252596.09995908</v>
      </c>
      <c r="K7" s="38">
        <f>E3/I43*1000</f>
        <v>2.7498466766440868</v>
      </c>
      <c r="L7" s="38">
        <f>F3/J43*1000</f>
        <v>2.707188589822469</v>
      </c>
      <c r="M7" s="27">
        <f>I7*K7</f>
        <v>763812885.58432078</v>
      </c>
      <c r="N7" s="39">
        <f>J7*L7</f>
        <v>845326665.30425322</v>
      </c>
    </row>
    <row r="8" spans="1:14" ht="11.85" customHeight="1" x14ac:dyDescent="0.25">
      <c r="B8" s="71" t="s">
        <v>44</v>
      </c>
      <c r="C8" s="37">
        <v>8760</v>
      </c>
      <c r="D8" s="38">
        <v>0.5</v>
      </c>
      <c r="E8" s="27">
        <f>'ESTIMARE I_E-22-23'!G6</f>
        <v>936.06885483999565</v>
      </c>
      <c r="F8" s="27"/>
      <c r="G8" s="27">
        <f>+E8*C8</f>
        <v>8199963.1683983617</v>
      </c>
      <c r="H8" s="27">
        <f t="shared" ref="H8:H42" si="0">+F8*C8</f>
        <v>0</v>
      </c>
      <c r="I8" s="27">
        <f>C8*E8*D8</f>
        <v>4099981.5841991808</v>
      </c>
      <c r="J8" s="27"/>
      <c r="K8" s="38">
        <f t="shared" ref="K8" si="1">$K$7*D8</f>
        <v>1.3749233383220434</v>
      </c>
      <c r="L8" s="38"/>
      <c r="M8" s="27">
        <f t="shared" ref="M8" si="2">E8*$C8*K8</f>
        <v>11274320.733612075</v>
      </c>
      <c r="N8" s="39">
        <f>J8*L8</f>
        <v>0</v>
      </c>
    </row>
    <row r="9" spans="1:14" ht="11.85" customHeight="1" x14ac:dyDescent="0.25">
      <c r="B9" s="71" t="s">
        <v>45</v>
      </c>
      <c r="C9" s="37">
        <v>8760</v>
      </c>
      <c r="D9" s="38">
        <v>0.5</v>
      </c>
      <c r="E9" s="27"/>
      <c r="F9" s="27">
        <f>'ESTIMARE I_E-22-23'!G15</f>
        <v>1835.4968018394873</v>
      </c>
      <c r="G9" s="27">
        <f t="shared" ref="G9:G42" si="3">+E9*C9</f>
        <v>0</v>
      </c>
      <c r="H9" s="27">
        <f>+F9*C9</f>
        <v>16078951.984113909</v>
      </c>
      <c r="I9" s="27"/>
      <c r="J9" s="27">
        <f>C9*F9*D9</f>
        <v>8039475.9920569547</v>
      </c>
      <c r="K9" s="38"/>
      <c r="L9" s="38">
        <f t="shared" ref="L9:L42" si="4">$L$7*D9</f>
        <v>1.3535942949112345</v>
      </c>
      <c r="M9" s="27"/>
      <c r="N9" s="39">
        <f t="shared" ref="N9:N42" si="5">F9*$C9*L9</f>
        <v>21764377.673848264</v>
      </c>
    </row>
    <row r="10" spans="1:14" ht="11.85" customHeight="1" x14ac:dyDescent="0.25">
      <c r="B10" s="36" t="s">
        <v>46</v>
      </c>
      <c r="C10" s="37"/>
      <c r="D10" s="27"/>
      <c r="E10" s="27"/>
      <c r="F10" s="27"/>
      <c r="G10" s="27">
        <f t="shared" si="3"/>
        <v>0</v>
      </c>
      <c r="H10" s="27">
        <f t="shared" si="0"/>
        <v>0</v>
      </c>
      <c r="I10" s="27"/>
      <c r="J10" s="27"/>
      <c r="K10" s="38"/>
      <c r="L10" s="38"/>
      <c r="M10" s="27"/>
      <c r="N10" s="39"/>
    </row>
    <row r="11" spans="1:14" ht="11.85" customHeight="1" x14ac:dyDescent="0.25">
      <c r="A11" s="72"/>
      <c r="B11" s="36" t="s">
        <v>96</v>
      </c>
      <c r="C11" s="37">
        <v>2208</v>
      </c>
      <c r="D11" s="38">
        <f>'Multiplicatori 21-22-TAR'!C10</f>
        <v>1.4724214561544722</v>
      </c>
      <c r="E11" s="27">
        <f>'ESTIMARE I_E-22-23'!G24-'ESTIMARE I_E-22-23'!G25+'Estimare T1 18-19'!G12</f>
        <v>3356.1190086235451</v>
      </c>
      <c r="F11" s="27">
        <f>'ESTIMARE I_E-22-23'!G30+'Estimare T1 18-19'!G12</f>
        <v>1165.4274431909712</v>
      </c>
      <c r="G11" s="27">
        <f t="shared" si="3"/>
        <v>7410310.7710407879</v>
      </c>
      <c r="H11" s="27">
        <f t="shared" si="0"/>
        <v>2573263.7945656646</v>
      </c>
      <c r="I11" s="27">
        <f t="shared" ref="I11:J26" si="6">$C11*$D11*E11</f>
        <v>10911100.576053046</v>
      </c>
      <c r="J11" s="27">
        <f t="shared" si="6"/>
        <v>3788928.8234639582</v>
      </c>
      <c r="K11" s="38">
        <f t="shared" ref="K11:K42" si="7">$K$7*D11</f>
        <v>4.048933247825822</v>
      </c>
      <c r="L11" s="38">
        <f t="shared" si="4"/>
        <v>3.9861225655111721</v>
      </c>
      <c r="M11" s="27">
        <f t="shared" ref="M11:M42" si="8">E11*$C11*K11</f>
        <v>30003853.657588847</v>
      </c>
      <c r="N11" s="39">
        <f t="shared" si="5"/>
        <v>10257344.8785311</v>
      </c>
    </row>
    <row r="12" spans="1:14" ht="11.85" customHeight="1" x14ac:dyDescent="0.25">
      <c r="A12" s="72"/>
      <c r="B12" s="71" t="s">
        <v>97</v>
      </c>
      <c r="C12" s="37">
        <v>2208</v>
      </c>
      <c r="D12" s="38">
        <f>D11*0.5</f>
        <v>0.73621072807723609</v>
      </c>
      <c r="E12" s="27">
        <f>'ESTIMARE I_E-22-23'!G25</f>
        <v>12.707146666872832</v>
      </c>
      <c r="F12" s="27"/>
      <c r="G12" s="27">
        <f t="shared" si="3"/>
        <v>28057.379840455214</v>
      </c>
      <c r="H12" s="27">
        <f t="shared" si="0"/>
        <v>0</v>
      </c>
      <c r="I12" s="27">
        <f t="shared" si="6"/>
        <v>20656.144040281099</v>
      </c>
      <c r="J12" s="27">
        <f t="shared" si="6"/>
        <v>0</v>
      </c>
      <c r="K12" s="38">
        <f t="shared" si="7"/>
        <v>2.024466623912911</v>
      </c>
      <c r="L12" s="38">
        <f t="shared" si="4"/>
        <v>1.993061282755586</v>
      </c>
      <c r="M12" s="27">
        <f t="shared" si="8"/>
        <v>56801.22904144854</v>
      </c>
      <c r="N12" s="39">
        <f t="shared" si="5"/>
        <v>0</v>
      </c>
    </row>
    <row r="13" spans="1:14" ht="11.85" customHeight="1" x14ac:dyDescent="0.25">
      <c r="A13" s="72"/>
      <c r="B13" s="36" t="s">
        <v>98</v>
      </c>
      <c r="C13" s="37">
        <v>2160</v>
      </c>
      <c r="D13" s="38">
        <f>'Multiplicatori 21-22-TAR'!F10</f>
        <v>1.5891521190286824</v>
      </c>
      <c r="E13" s="27">
        <f>'ESTIMARE I_E-22-23'!G37-'ESTIMARE I_E-22-23'!G38+'Estimare T1 18-19'!G14</f>
        <v>3790.6050882259528</v>
      </c>
      <c r="F13" s="27">
        <f>'ESTIMARE I_E-22-23'!G43+'Estimare T1 18-19'!G14</f>
        <v>1748.4830818781622</v>
      </c>
      <c r="G13" s="27">
        <f t="shared" si="3"/>
        <v>8187706.9905680586</v>
      </c>
      <c r="H13" s="27">
        <f t="shared" si="0"/>
        <v>3776723.4568568305</v>
      </c>
      <c r="I13" s="27">
        <f t="shared" si="6"/>
        <v>13011511.914047185</v>
      </c>
      <c r="J13" s="27">
        <f t="shared" si="6"/>
        <v>6001788.0844493629</v>
      </c>
      <c r="K13" s="38">
        <f t="shared" si="7"/>
        <v>4.36992467319293</v>
      </c>
      <c r="L13" s="38">
        <f t="shared" si="4"/>
        <v>4.3021344841266469</v>
      </c>
      <c r="M13" s="27">
        <f t="shared" si="8"/>
        <v>35779662.794957593</v>
      </c>
      <c r="N13" s="39">
        <f t="shared" si="5"/>
        <v>16247972.220753767</v>
      </c>
    </row>
    <row r="14" spans="1:14" ht="11.85" customHeight="1" x14ac:dyDescent="0.25">
      <c r="A14" s="72"/>
      <c r="B14" s="71" t="s">
        <v>99</v>
      </c>
      <c r="C14" s="37">
        <v>2160</v>
      </c>
      <c r="D14" s="38">
        <f>D13*0.5</f>
        <v>0.79457605951434118</v>
      </c>
      <c r="E14" s="27">
        <f>'ESTIMARE I_E-22-23'!G38</f>
        <v>1171.8949117740472</v>
      </c>
      <c r="F14" s="27"/>
      <c r="G14" s="27">
        <f t="shared" si="3"/>
        <v>2531293.0094319419</v>
      </c>
      <c r="H14" s="27">
        <f t="shared" si="0"/>
        <v>0</v>
      </c>
      <c r="I14" s="27">
        <f t="shared" si="6"/>
        <v>2011304.8249106305</v>
      </c>
      <c r="J14" s="27">
        <f t="shared" si="6"/>
        <v>0</v>
      </c>
      <c r="K14" s="38">
        <f t="shared" si="7"/>
        <v>2.184962336596465</v>
      </c>
      <c r="L14" s="38">
        <f t="shared" si="4"/>
        <v>2.1510672420633234</v>
      </c>
      <c r="M14" s="27">
        <f t="shared" si="8"/>
        <v>5530779.8884987133</v>
      </c>
      <c r="N14" s="39">
        <f t="shared" si="5"/>
        <v>0</v>
      </c>
    </row>
    <row r="15" spans="1:14" ht="11.85" customHeight="1" x14ac:dyDescent="0.25">
      <c r="A15" s="72"/>
      <c r="B15" s="36" t="s">
        <v>100</v>
      </c>
      <c r="C15" s="37">
        <v>2184</v>
      </c>
      <c r="D15" s="38">
        <f>'Multiplicatori 21-22-TAR'!I10</f>
        <v>1.0727246255235781</v>
      </c>
      <c r="E15" s="27">
        <f>'ESTIMARE I_E-22-23'!G50</f>
        <v>75.75</v>
      </c>
      <c r="F15" s="27">
        <f>'ESTIMARE I_E-22-23'!G55</f>
        <v>60.779242672379219</v>
      </c>
      <c r="G15" s="27">
        <f t="shared" si="3"/>
        <v>165438</v>
      </c>
      <c r="H15" s="27">
        <f t="shared" si="0"/>
        <v>132741.8659964762</v>
      </c>
      <c r="I15" s="27">
        <f t="shared" si="6"/>
        <v>177469.41659736971</v>
      </c>
      <c r="J15" s="27">
        <f t="shared" si="6"/>
        <v>142395.46849237094</v>
      </c>
      <c r="K15" s="38">
        <f t="shared" si="7"/>
        <v>2.9498282464502834</v>
      </c>
      <c r="L15" s="38">
        <f t="shared" si="4"/>
        <v>2.9040678662390116</v>
      </c>
      <c r="M15" s="27">
        <f t="shared" si="8"/>
        <v>488013.68543624197</v>
      </c>
      <c r="N15" s="39">
        <f t="shared" si="5"/>
        <v>385491.38754497148</v>
      </c>
    </row>
    <row r="16" spans="1:14" ht="11.85" customHeight="1" x14ac:dyDescent="0.25">
      <c r="A16" s="72"/>
      <c r="B16" s="71" t="s">
        <v>101</v>
      </c>
      <c r="C16" s="37">
        <v>2184</v>
      </c>
      <c r="D16" s="38">
        <f>D15*0.5</f>
        <v>0.53636231276178903</v>
      </c>
      <c r="E16" s="27"/>
      <c r="F16" s="27"/>
      <c r="G16" s="27">
        <f t="shared" si="3"/>
        <v>0</v>
      </c>
      <c r="H16" s="27">
        <f t="shared" si="0"/>
        <v>0</v>
      </c>
      <c r="I16" s="27">
        <f t="shared" si="6"/>
        <v>0</v>
      </c>
      <c r="J16" s="27">
        <f t="shared" si="6"/>
        <v>0</v>
      </c>
      <c r="K16" s="38">
        <f t="shared" si="7"/>
        <v>1.4749141232251417</v>
      </c>
      <c r="L16" s="38">
        <f t="shared" si="4"/>
        <v>1.4520339331195058</v>
      </c>
      <c r="M16" s="27">
        <f t="shared" si="8"/>
        <v>0</v>
      </c>
      <c r="N16" s="39">
        <f t="shared" si="5"/>
        <v>0</v>
      </c>
    </row>
    <row r="17" spans="1:14" ht="11.85" customHeight="1" x14ac:dyDescent="0.25">
      <c r="A17" s="72"/>
      <c r="B17" s="36" t="s">
        <v>102</v>
      </c>
      <c r="C17" s="37">
        <v>2208</v>
      </c>
      <c r="D17" s="38">
        <f>'Multiplicatori 21-22-TAR'!L10</f>
        <v>1.065701799293268</v>
      </c>
      <c r="E17" s="27">
        <f>'ESTIMARE I_E-22-23'!G63</f>
        <v>42.083333333333336</v>
      </c>
      <c r="F17" s="27">
        <f>'ESTIMARE I_E-22-23'!G68</f>
        <v>56.124221138268815</v>
      </c>
      <c r="G17" s="27">
        <f t="shared" si="3"/>
        <v>92920</v>
      </c>
      <c r="H17" s="27">
        <f t="shared" si="0"/>
        <v>123922.28027329754</v>
      </c>
      <c r="I17" s="27">
        <f t="shared" si="6"/>
        <v>99025.011190330464</v>
      </c>
      <c r="J17" s="27">
        <f t="shared" si="6"/>
        <v>132064.19705977786</v>
      </c>
      <c r="K17" s="38">
        <f t="shared" si="7"/>
        <v>2.9305165510802165</v>
      </c>
      <c r="L17" s="38">
        <f t="shared" si="4"/>
        <v>2.8850557512000101</v>
      </c>
      <c r="M17" s="27">
        <f t="shared" si="8"/>
        <v>272303.59792637371</v>
      </c>
      <c r="N17" s="39">
        <f t="shared" si="5"/>
        <v>357522.68740429665</v>
      </c>
    </row>
    <row r="18" spans="1:14" ht="11.85" customHeight="1" x14ac:dyDescent="0.25">
      <c r="A18" s="72"/>
      <c r="B18" s="71" t="s">
        <v>103</v>
      </c>
      <c r="C18" s="37">
        <v>2208</v>
      </c>
      <c r="D18" s="38">
        <f>D17*0.5</f>
        <v>0.53285089964663401</v>
      </c>
      <c r="E18" s="27"/>
      <c r="F18" s="27"/>
      <c r="G18" s="27">
        <f t="shared" si="3"/>
        <v>0</v>
      </c>
      <c r="H18" s="27">
        <f t="shared" si="0"/>
        <v>0</v>
      </c>
      <c r="I18" s="27">
        <f t="shared" si="6"/>
        <v>0</v>
      </c>
      <c r="J18" s="27">
        <f t="shared" si="6"/>
        <v>0</v>
      </c>
      <c r="K18" s="38">
        <f t="shared" si="7"/>
        <v>1.4652582755401082</v>
      </c>
      <c r="L18" s="38">
        <f t="shared" si="4"/>
        <v>1.4425278756000051</v>
      </c>
      <c r="M18" s="27">
        <f t="shared" si="8"/>
        <v>0</v>
      </c>
      <c r="N18" s="39">
        <f t="shared" si="5"/>
        <v>0</v>
      </c>
    </row>
    <row r="19" spans="1:14" ht="11.85" customHeight="1" x14ac:dyDescent="0.25">
      <c r="B19" s="36" t="s">
        <v>53</v>
      </c>
      <c r="C19" s="37">
        <v>744</v>
      </c>
      <c r="D19" s="38">
        <f>'Multiplicatori 21-22-TAR'!C11</f>
        <v>1.4462366396697988</v>
      </c>
      <c r="E19" s="27">
        <f>'ESTIMARE I_E-22-23'!G80+'Estimare T1 18-19'!G21</f>
        <v>75</v>
      </c>
      <c r="F19" s="27"/>
      <c r="G19" s="27">
        <f t="shared" si="3"/>
        <v>55800</v>
      </c>
      <c r="H19" s="27">
        <f t="shared" si="0"/>
        <v>0</v>
      </c>
      <c r="I19" s="27">
        <f t="shared" si="6"/>
        <v>80700.004493574772</v>
      </c>
      <c r="J19" s="27">
        <f t="shared" si="6"/>
        <v>0</v>
      </c>
      <c r="K19" s="38">
        <f t="shared" si="7"/>
        <v>3.9769290172369076</v>
      </c>
      <c r="L19" s="38">
        <f t="shared" si="4"/>
        <v>3.9152353290972686</v>
      </c>
      <c r="M19" s="27">
        <f t="shared" si="8"/>
        <v>221912.63916181945</v>
      </c>
      <c r="N19" s="39">
        <f t="shared" si="5"/>
        <v>0</v>
      </c>
    </row>
    <row r="20" spans="1:14" ht="11.85" customHeight="1" x14ac:dyDescent="0.25">
      <c r="B20" s="71" t="s">
        <v>104</v>
      </c>
      <c r="C20" s="37">
        <f>+C19</f>
        <v>744</v>
      </c>
      <c r="D20" s="38">
        <f>D19*0.5</f>
        <v>0.72311831983489938</v>
      </c>
      <c r="E20" s="27"/>
      <c r="F20" s="27"/>
      <c r="G20" s="27">
        <f t="shared" si="3"/>
        <v>0</v>
      </c>
      <c r="H20" s="27">
        <f t="shared" si="0"/>
        <v>0</v>
      </c>
      <c r="I20" s="27">
        <f t="shared" si="6"/>
        <v>0</v>
      </c>
      <c r="J20" s="27">
        <f t="shared" si="6"/>
        <v>0</v>
      </c>
      <c r="K20" s="38">
        <f t="shared" si="7"/>
        <v>1.9884645086184538</v>
      </c>
      <c r="L20" s="38">
        <f t="shared" si="4"/>
        <v>1.9576176645486343</v>
      </c>
      <c r="M20" s="27">
        <f t="shared" si="8"/>
        <v>0</v>
      </c>
      <c r="N20" s="39">
        <f t="shared" si="5"/>
        <v>0</v>
      </c>
    </row>
    <row r="21" spans="1:14" ht="11.85" customHeight="1" x14ac:dyDescent="0.25">
      <c r="B21" s="36" t="s">
        <v>54</v>
      </c>
      <c r="C21" s="37">
        <v>720</v>
      </c>
      <c r="D21" s="38">
        <f>'Multiplicatori 21-22-TAR'!D11</f>
        <v>1.589098104850081</v>
      </c>
      <c r="E21" s="27">
        <f>'ESTIMARE I_E-22-23'!G93-'ESTIMARE I_E-22-23'!G94+'Estimare T1 18-19'!G23</f>
        <v>2330.7881151920637</v>
      </c>
      <c r="F21" s="27">
        <f>'ESTIMARE I_E-22-23'!G99+'Estimare T1 18-19'!G23</f>
        <v>915.01868701309786</v>
      </c>
      <c r="G21" s="27">
        <f t="shared" si="3"/>
        <v>1678167.4429382859</v>
      </c>
      <c r="H21" s="27">
        <f t="shared" si="0"/>
        <v>658813.45464943047</v>
      </c>
      <c r="I21" s="27">
        <f t="shared" si="6"/>
        <v>2666772.7031943365</v>
      </c>
      <c r="J21" s="27">
        <f t="shared" si="6"/>
        <v>1046919.2122331447</v>
      </c>
      <c r="K21" s="38">
        <f t="shared" si="7"/>
        <v>4.3697761424834116</v>
      </c>
      <c r="L21" s="38">
        <f t="shared" si="4"/>
        <v>4.3019882575586488</v>
      </c>
      <c r="M21" s="27">
        <f t="shared" si="8"/>
        <v>7333216.0552441133</v>
      </c>
      <c r="N21" s="39">
        <f t="shared" si="5"/>
        <v>2834207.7458234974</v>
      </c>
    </row>
    <row r="22" spans="1:14" ht="11.85" customHeight="1" x14ac:dyDescent="0.25">
      <c r="B22" s="71" t="s">
        <v>105</v>
      </c>
      <c r="C22" s="37">
        <f>+C21</f>
        <v>720</v>
      </c>
      <c r="D22" s="38">
        <f>D21*0.5</f>
        <v>0.79454905242504048</v>
      </c>
      <c r="E22" s="27">
        <f>'ESTIMARE I_E-22-23'!G94</f>
        <v>252.54521814126952</v>
      </c>
      <c r="F22" s="27"/>
      <c r="G22" s="27">
        <f t="shared" si="3"/>
        <v>181832.55706171406</v>
      </c>
      <c r="H22" s="27">
        <f t="shared" si="0"/>
        <v>0</v>
      </c>
      <c r="I22" s="27">
        <f t="shared" si="6"/>
        <v>144474.88591340699</v>
      </c>
      <c r="J22" s="27">
        <f t="shared" si="6"/>
        <v>0</v>
      </c>
      <c r="K22" s="38">
        <f t="shared" si="7"/>
        <v>2.1848880712417058</v>
      </c>
      <c r="L22" s="38">
        <f t="shared" si="4"/>
        <v>2.1509941287793244</v>
      </c>
      <c r="M22" s="27">
        <f t="shared" si="8"/>
        <v>397283.78488751582</v>
      </c>
      <c r="N22" s="39">
        <f t="shared" si="5"/>
        <v>0</v>
      </c>
    </row>
    <row r="23" spans="1:14" ht="11.85" customHeight="1" x14ac:dyDescent="0.25">
      <c r="B23" s="36" t="s">
        <v>55</v>
      </c>
      <c r="C23" s="37">
        <v>744</v>
      </c>
      <c r="D23" s="38">
        <f>'Multiplicatori 21-22-TAR'!E11</f>
        <v>2.0615087575532933</v>
      </c>
      <c r="E23" s="27">
        <f>'ESTIMARE I_E-22-23'!G106-'ESTIMARE I_E-22-23'!G107+'Estimare T1 18-19'!G25</f>
        <v>3967.7932905663988</v>
      </c>
      <c r="F23" s="27">
        <f>'ESTIMARE I_E-22-23'!G112+'Estimare T1 18-19'!G25</f>
        <v>1469.1558866669909</v>
      </c>
      <c r="G23" s="27">
        <f t="shared" si="3"/>
        <v>2952038.2081814008</v>
      </c>
      <c r="H23" s="27">
        <f t="shared" si="0"/>
        <v>1093051.9796802413</v>
      </c>
      <c r="I23" s="27">
        <f t="shared" si="6"/>
        <v>6085652.6187978899</v>
      </c>
      <c r="J23" s="27">
        <f t="shared" si="6"/>
        <v>2253336.2285717819</v>
      </c>
      <c r="K23" s="38">
        <f t="shared" si="7"/>
        <v>5.6688330058306038</v>
      </c>
      <c r="L23" s="38">
        <f t="shared" si="4"/>
        <v>5.5808929862673704</v>
      </c>
      <c r="M23" s="27">
        <f t="shared" si="8"/>
        <v>16734611.62901176</v>
      </c>
      <c r="N23" s="39">
        <f t="shared" si="5"/>
        <v>6100206.1270231232</v>
      </c>
    </row>
    <row r="24" spans="1:14" ht="11.85" customHeight="1" x14ac:dyDescent="0.25">
      <c r="B24" s="71" t="s">
        <v>106</v>
      </c>
      <c r="C24" s="37">
        <f>+C23</f>
        <v>744</v>
      </c>
      <c r="D24" s="38">
        <f>D23*0.5</f>
        <v>1.0307543787766467</v>
      </c>
      <c r="E24" s="27">
        <f>'ESTIMARE I_E-22-23'!G107</f>
        <v>1615.5400427669347</v>
      </c>
      <c r="F24" s="27"/>
      <c r="G24" s="27">
        <f t="shared" si="3"/>
        <v>1201961.7918185994</v>
      </c>
      <c r="H24" s="27">
        <f t="shared" si="0"/>
        <v>0</v>
      </c>
      <c r="I24" s="27">
        <f t="shared" si="6"/>
        <v>1238927.3800392456</v>
      </c>
      <c r="J24" s="27">
        <f t="shared" si="6"/>
        <v>0</v>
      </c>
      <c r="K24" s="38">
        <f t="shared" si="7"/>
        <v>2.8344165029153019</v>
      </c>
      <c r="L24" s="38">
        <f t="shared" si="4"/>
        <v>2.7904464931336852</v>
      </c>
      <c r="M24" s="27">
        <f t="shared" si="8"/>
        <v>3406860.3386042849</v>
      </c>
      <c r="N24" s="39">
        <f t="shared" si="5"/>
        <v>0</v>
      </c>
    </row>
    <row r="25" spans="1:14" ht="11.85" customHeight="1" x14ac:dyDescent="0.25">
      <c r="B25" s="36" t="s">
        <v>56</v>
      </c>
      <c r="C25" s="37">
        <v>744</v>
      </c>
      <c r="D25" s="38">
        <f>'Multiplicatori 21-22-TAR'!F11</f>
        <v>2.4055008618198639</v>
      </c>
      <c r="E25" s="27">
        <f>'ESTIMARE I_E-22-23'!G119-'ESTIMARE I_E-22-23'!G120+'Estimare T1 18-19'!G27</f>
        <v>4406.5867586263739</v>
      </c>
      <c r="F25" s="27">
        <f>'ESTIMARE I_E-22-23'!G125+'Estimare T1 18-19'!G27</f>
        <v>1625.6383271531261</v>
      </c>
      <c r="G25" s="27">
        <f t="shared" si="3"/>
        <v>3278500.5484180222</v>
      </c>
      <c r="H25" s="27">
        <f t="shared" si="0"/>
        <v>1209474.9154019258</v>
      </c>
      <c r="I25" s="27">
        <f t="shared" si="6"/>
        <v>7886435.8946964489</v>
      </c>
      <c r="J25" s="27">
        <f t="shared" si="6"/>
        <v>2909392.9513488393</v>
      </c>
      <c r="K25" s="38">
        <f t="shared" si="7"/>
        <v>6.6147585505398396</v>
      </c>
      <c r="L25" s="38">
        <f t="shared" si="4"/>
        <v>6.5121444859268509</v>
      </c>
      <c r="M25" s="27">
        <f t="shared" si="8"/>
        <v>21686489.535597667</v>
      </c>
      <c r="N25" s="39">
        <f t="shared" si="5"/>
        <v>7876275.4012014959</v>
      </c>
    </row>
    <row r="26" spans="1:14" ht="11.85" customHeight="1" x14ac:dyDescent="0.25">
      <c r="B26" s="71" t="s">
        <v>107</v>
      </c>
      <c r="C26" s="37">
        <f>+C25</f>
        <v>744</v>
      </c>
      <c r="D26" s="38">
        <f>D25*0.5</f>
        <v>1.2027504309099319</v>
      </c>
      <c r="E26" s="27">
        <f>'ESTIMARE I_E-22-23'!G120</f>
        <v>1655.9132413736259</v>
      </c>
      <c r="F26" s="27"/>
      <c r="G26" s="27">
        <f t="shared" si="3"/>
        <v>1231999.4515819775</v>
      </c>
      <c r="H26" s="27">
        <f t="shared" si="0"/>
        <v>0</v>
      </c>
      <c r="I26" s="27">
        <f t="shared" si="6"/>
        <v>1481787.8712710235</v>
      </c>
      <c r="J26" s="27">
        <f t="shared" si="6"/>
        <v>0</v>
      </c>
      <c r="K26" s="38">
        <f t="shared" si="7"/>
        <v>3.3073792752699198</v>
      </c>
      <c r="L26" s="38">
        <f t="shared" si="4"/>
        <v>3.2560722429634255</v>
      </c>
      <c r="M26" s="27">
        <f t="shared" si="8"/>
        <v>4074689.4533061394</v>
      </c>
      <c r="N26" s="39">
        <f t="shared" si="5"/>
        <v>0</v>
      </c>
    </row>
    <row r="27" spans="1:14" ht="11.85" customHeight="1" x14ac:dyDescent="0.25">
      <c r="B27" s="36" t="s">
        <v>57</v>
      </c>
      <c r="C27" s="37">
        <v>672</v>
      </c>
      <c r="D27" s="38">
        <f>'Multiplicatori 21-22-TAR'!G11</f>
        <v>1.6208307275701119</v>
      </c>
      <c r="E27" s="27">
        <f>'ESTIMARE I_E-22-23'!G132-'ESTIMARE I_E-22-23'!G133+'Estimare T1 18-19'!G29</f>
        <v>3574.3473635640817</v>
      </c>
      <c r="F27" s="27">
        <f>'ESTIMARE I_E-22-23'!G138+'Estimare T1 18-19'!G29</f>
        <v>710.68906476885638</v>
      </c>
      <c r="G27" s="27">
        <f t="shared" si="3"/>
        <v>2401961.428315063</v>
      </c>
      <c r="H27" s="27">
        <f t="shared" si="0"/>
        <v>477583.05152467149</v>
      </c>
      <c r="I27" s="27">
        <f t="shared" ref="I27:J42" si="9">$C27*$D27*E27</f>
        <v>3893172.8894512486</v>
      </c>
      <c r="J27" s="27">
        <f t="shared" si="9"/>
        <v>774081.28487788746</v>
      </c>
      <c r="K27" s="38">
        <f t="shared" si="7"/>
        <v>4.4570359896112892</v>
      </c>
      <c r="L27" s="38">
        <f t="shared" si="4"/>
        <v>4.3878944517114578</v>
      </c>
      <c r="M27" s="27">
        <f t="shared" si="8"/>
        <v>10705628.531658372</v>
      </c>
      <c r="N27" s="39">
        <f t="shared" si="5"/>
        <v>2095584.0220165332</v>
      </c>
    </row>
    <row r="28" spans="1:14" ht="11.85" customHeight="1" x14ac:dyDescent="0.25">
      <c r="B28" s="71" t="s">
        <v>108</v>
      </c>
      <c r="C28" s="37">
        <f>+C27</f>
        <v>672</v>
      </c>
      <c r="D28" s="38">
        <f>D27*0.5</f>
        <v>0.81041536378505596</v>
      </c>
      <c r="E28" s="27">
        <f>'ESTIMARE I_E-22-23'!G133</f>
        <v>446.48596976925182</v>
      </c>
      <c r="F28" s="27"/>
      <c r="G28" s="27">
        <f t="shared" si="3"/>
        <v>300038.57168493723</v>
      </c>
      <c r="H28" s="27">
        <f t="shared" si="0"/>
        <v>0</v>
      </c>
      <c r="I28" s="27">
        <f t="shared" si="9"/>
        <v>243155.86822159699</v>
      </c>
      <c r="J28" s="27">
        <f t="shared" si="9"/>
        <v>0</v>
      </c>
      <c r="K28" s="38">
        <f t="shared" si="7"/>
        <v>2.2285179948056446</v>
      </c>
      <c r="L28" s="38">
        <f t="shared" si="4"/>
        <v>2.1939472258557289</v>
      </c>
      <c r="M28" s="27">
        <f t="shared" si="8"/>
        <v>668641.35613566602</v>
      </c>
      <c r="N28" s="39">
        <f t="shared" si="5"/>
        <v>0</v>
      </c>
    </row>
    <row r="29" spans="1:14" ht="11.85" customHeight="1" x14ac:dyDescent="0.25">
      <c r="B29" s="36" t="s">
        <v>58</v>
      </c>
      <c r="C29" s="37">
        <v>744</v>
      </c>
      <c r="D29" s="38">
        <f>'Multiplicatori 21-22-TAR'!H11</f>
        <v>1.4745795918631555</v>
      </c>
      <c r="E29" s="27">
        <f>'ESTIMARE I_E-22-23'!G145+'Estimare T1 18-19'!G31</f>
        <v>208.33333333333331</v>
      </c>
      <c r="F29" s="27">
        <f>'ESTIMARE I_E-22-23'!G151+'Estimare T1 18-19'!G31</f>
        <v>166.66666666666666</v>
      </c>
      <c r="G29" s="27">
        <f t="shared" si="3"/>
        <v>155000</v>
      </c>
      <c r="H29" s="27">
        <f t="shared" si="0"/>
        <v>124000</v>
      </c>
      <c r="I29" s="27">
        <f t="shared" si="9"/>
        <v>228559.83673878908</v>
      </c>
      <c r="J29" s="27">
        <f t="shared" si="9"/>
        <v>182847.86939103127</v>
      </c>
      <c r="K29" s="38">
        <f t="shared" si="7"/>
        <v>4.054867790132092</v>
      </c>
      <c r="L29" s="38">
        <f t="shared" si="4"/>
        <v>3.9919650458770075</v>
      </c>
      <c r="M29" s="27">
        <f t="shared" si="8"/>
        <v>628504.50747047423</v>
      </c>
      <c r="N29" s="39">
        <f t="shared" si="5"/>
        <v>495003.66568874894</v>
      </c>
    </row>
    <row r="30" spans="1:14" ht="11.85" customHeight="1" x14ac:dyDescent="0.25">
      <c r="B30" s="71" t="s">
        <v>109</v>
      </c>
      <c r="C30" s="37">
        <v>744</v>
      </c>
      <c r="D30" s="38">
        <f>D29*0.5</f>
        <v>0.73728979593157773</v>
      </c>
      <c r="E30" s="27"/>
      <c r="F30" s="27"/>
      <c r="G30" s="27">
        <f t="shared" si="3"/>
        <v>0</v>
      </c>
      <c r="H30" s="27">
        <f t="shared" si="0"/>
        <v>0</v>
      </c>
      <c r="I30" s="27">
        <f t="shared" si="9"/>
        <v>0</v>
      </c>
      <c r="J30" s="27">
        <f t="shared" si="9"/>
        <v>0</v>
      </c>
      <c r="K30" s="38">
        <f t="shared" si="7"/>
        <v>2.027433895066046</v>
      </c>
      <c r="L30" s="38">
        <f t="shared" si="4"/>
        <v>1.9959825229385038</v>
      </c>
      <c r="M30" s="27">
        <f t="shared" si="8"/>
        <v>0</v>
      </c>
      <c r="N30" s="39">
        <f t="shared" si="5"/>
        <v>0</v>
      </c>
    </row>
    <row r="31" spans="1:14" ht="11.85" customHeight="1" x14ac:dyDescent="0.25">
      <c r="B31" s="36" t="s">
        <v>47</v>
      </c>
      <c r="C31" s="37">
        <v>720</v>
      </c>
      <c r="D31" s="38">
        <f>'Multiplicatori 21-22-TAR'!I11</f>
        <v>1.2700233455128964</v>
      </c>
      <c r="E31" s="27">
        <f>'ESTIMARE I_E-22-23'!G158+'Estimare T1 18-19'!G33</f>
        <v>375</v>
      </c>
      <c r="F31" s="27">
        <f>'ESTIMARE I_E-22-23'!G176+'Estimare T1 18-19'!G33</f>
        <v>333.33333333333331</v>
      </c>
      <c r="G31" s="27">
        <f t="shared" si="3"/>
        <v>270000</v>
      </c>
      <c r="H31" s="27">
        <f t="shared" si="0"/>
        <v>240000</v>
      </c>
      <c r="I31" s="27">
        <f t="shared" si="9"/>
        <v>342906.30328848207</v>
      </c>
      <c r="J31" s="27">
        <f t="shared" si="9"/>
        <v>304805.60292309511</v>
      </c>
      <c r="K31" s="38">
        <f t="shared" si="7"/>
        <v>3.4923694759190429</v>
      </c>
      <c r="L31" s="38">
        <f t="shared" si="4"/>
        <v>3.4381927097806724</v>
      </c>
      <c r="M31" s="27">
        <f t="shared" si="8"/>
        <v>942939.75849814154</v>
      </c>
      <c r="N31" s="39">
        <f t="shared" si="5"/>
        <v>825166.25034736132</v>
      </c>
    </row>
    <row r="32" spans="1:14" ht="11.85" customHeight="1" x14ac:dyDescent="0.25">
      <c r="B32" s="71" t="s">
        <v>110</v>
      </c>
      <c r="C32" s="37">
        <f>+C31</f>
        <v>720</v>
      </c>
      <c r="D32" s="38">
        <f>D31*0.5</f>
        <v>0.63501167275644821</v>
      </c>
      <c r="E32" s="27"/>
      <c r="F32" s="27"/>
      <c r="G32" s="27">
        <f t="shared" si="3"/>
        <v>0</v>
      </c>
      <c r="H32" s="27">
        <f t="shared" si="0"/>
        <v>0</v>
      </c>
      <c r="I32" s="27">
        <f t="shared" si="9"/>
        <v>0</v>
      </c>
      <c r="J32" s="27">
        <f t="shared" si="9"/>
        <v>0</v>
      </c>
      <c r="K32" s="38">
        <f t="shared" si="7"/>
        <v>1.7461847379595214</v>
      </c>
      <c r="L32" s="38">
        <f t="shared" si="4"/>
        <v>1.7190963548903362</v>
      </c>
      <c r="M32" s="27">
        <f t="shared" si="8"/>
        <v>0</v>
      </c>
      <c r="N32" s="39">
        <f t="shared" si="5"/>
        <v>0</v>
      </c>
    </row>
    <row r="33" spans="1:14" ht="11.85" customHeight="1" x14ac:dyDescent="0.25">
      <c r="B33" s="36" t="s">
        <v>48</v>
      </c>
      <c r="C33" s="37">
        <v>744</v>
      </c>
      <c r="D33" s="38">
        <f>'Multiplicatori 21-22-TAR'!J11</f>
        <v>1.3856564109525178</v>
      </c>
      <c r="E33" s="27">
        <f>'ESTIMARE I_E-22-23'!G171+'Estimare T1 18-19'!G35</f>
        <v>375</v>
      </c>
      <c r="F33" s="27">
        <f>'ESTIMARE I_E-22-23'!G176+'Estimare T1 18-19'!G35</f>
        <v>333.33333333333331</v>
      </c>
      <c r="G33" s="27">
        <f t="shared" si="3"/>
        <v>279000</v>
      </c>
      <c r="H33" s="27">
        <f t="shared" si="0"/>
        <v>248000</v>
      </c>
      <c r="I33" s="27">
        <f t="shared" si="9"/>
        <v>386598.13865575247</v>
      </c>
      <c r="J33" s="27">
        <f t="shared" si="9"/>
        <v>343642.78991622443</v>
      </c>
      <c r="K33" s="38">
        <f t="shared" si="7"/>
        <v>3.8103426766283541</v>
      </c>
      <c r="L33" s="38">
        <f t="shared" si="4"/>
        <v>3.7512332251450102</v>
      </c>
      <c r="M33" s="27">
        <f t="shared" si="8"/>
        <v>1063085.6067793109</v>
      </c>
      <c r="N33" s="39">
        <f t="shared" si="5"/>
        <v>930305.83983596251</v>
      </c>
    </row>
    <row r="34" spans="1:14" ht="11.85" customHeight="1" x14ac:dyDescent="0.25">
      <c r="B34" s="71" t="s">
        <v>111</v>
      </c>
      <c r="C34" s="37">
        <f>+C33</f>
        <v>744</v>
      </c>
      <c r="D34" s="38">
        <f>D33*0.5</f>
        <v>0.6928282054762589</v>
      </c>
      <c r="E34" s="27"/>
      <c r="F34" s="27"/>
      <c r="G34" s="27">
        <f t="shared" si="3"/>
        <v>0</v>
      </c>
      <c r="H34" s="27">
        <f t="shared" si="0"/>
        <v>0</v>
      </c>
      <c r="I34" s="27">
        <f t="shared" si="9"/>
        <v>0</v>
      </c>
      <c r="J34" s="27">
        <f t="shared" si="9"/>
        <v>0</v>
      </c>
      <c r="K34" s="38">
        <f t="shared" si="7"/>
        <v>1.9051713383141771</v>
      </c>
      <c r="L34" s="38">
        <f t="shared" si="4"/>
        <v>1.8756166125725051</v>
      </c>
      <c r="M34" s="27">
        <f t="shared" si="8"/>
        <v>0</v>
      </c>
      <c r="N34" s="39">
        <f t="shared" si="5"/>
        <v>0</v>
      </c>
    </row>
    <row r="35" spans="1:14" ht="11.85" customHeight="1" x14ac:dyDescent="0.25">
      <c r="B35" s="36" t="s">
        <v>49</v>
      </c>
      <c r="C35" s="37">
        <v>720</v>
      </c>
      <c r="D35" s="38">
        <f>'Multiplicatori 21-22-TAR'!K11</f>
        <v>1.057597793423894</v>
      </c>
      <c r="E35" s="27">
        <f>'ESTIMARE I_E-22-23'!G184+'Estimare T1 18-19'!G37</f>
        <v>375</v>
      </c>
      <c r="F35" s="27">
        <f>'ESTIMARE I_E-22-23'!G189+'Estimare T1 18-19'!G37</f>
        <v>333.33333333333331</v>
      </c>
      <c r="G35" s="27">
        <f t="shared" si="3"/>
        <v>270000</v>
      </c>
      <c r="H35" s="27">
        <f t="shared" si="0"/>
        <v>240000</v>
      </c>
      <c r="I35" s="27">
        <f t="shared" si="9"/>
        <v>285551.4042244514</v>
      </c>
      <c r="J35" s="27">
        <f t="shared" si="9"/>
        <v>253823.47042173453</v>
      </c>
      <c r="K35" s="38">
        <f t="shared" si="7"/>
        <v>2.9082317774728144</v>
      </c>
      <c r="L35" s="38">
        <f t="shared" si="4"/>
        <v>2.8631166789785865</v>
      </c>
      <c r="M35" s="27">
        <f t="shared" si="8"/>
        <v>785222.57991765987</v>
      </c>
      <c r="N35" s="39">
        <f t="shared" si="5"/>
        <v>687148.0029548608</v>
      </c>
    </row>
    <row r="36" spans="1:14" ht="11.85" customHeight="1" x14ac:dyDescent="0.25">
      <c r="B36" s="71" t="s">
        <v>112</v>
      </c>
      <c r="C36" s="37">
        <f>+C35</f>
        <v>720</v>
      </c>
      <c r="D36" s="38">
        <f>D35*0.5</f>
        <v>0.52879889671194702</v>
      </c>
      <c r="E36" s="27"/>
      <c r="F36" s="27"/>
      <c r="G36" s="27">
        <f t="shared" si="3"/>
        <v>0</v>
      </c>
      <c r="H36" s="27">
        <f t="shared" si="0"/>
        <v>0</v>
      </c>
      <c r="I36" s="27">
        <f t="shared" si="9"/>
        <v>0</v>
      </c>
      <c r="J36" s="27">
        <f t="shared" si="9"/>
        <v>0</v>
      </c>
      <c r="K36" s="38">
        <f t="shared" si="7"/>
        <v>1.4541158887364072</v>
      </c>
      <c r="L36" s="38">
        <f t="shared" si="4"/>
        <v>1.4315583394892932</v>
      </c>
      <c r="M36" s="27">
        <f t="shared" si="8"/>
        <v>0</v>
      </c>
      <c r="N36" s="39">
        <f t="shared" si="5"/>
        <v>0</v>
      </c>
    </row>
    <row r="37" spans="1:14" ht="11.85" customHeight="1" x14ac:dyDescent="0.25">
      <c r="B37" s="36" t="s">
        <v>50</v>
      </c>
      <c r="C37" s="37">
        <v>744</v>
      </c>
      <c r="D37" s="38">
        <f>'Multiplicatori 21-22-TAR'!L11</f>
        <v>1.2922988118379253</v>
      </c>
      <c r="E37" s="27">
        <f>'ESTIMARE I_E-22-23'!G197+'Estimare T1 18-19'!G39</f>
        <v>145.83333333333334</v>
      </c>
      <c r="F37" s="27">
        <f>'ESTIMARE I_E-22-23'!G202+'Estimare T1 18-19'!G39</f>
        <v>104.16666666666667</v>
      </c>
      <c r="G37" s="27">
        <f t="shared" si="3"/>
        <v>108500</v>
      </c>
      <c r="H37" s="27">
        <f t="shared" si="0"/>
        <v>77500</v>
      </c>
      <c r="I37" s="27">
        <f t="shared" si="9"/>
        <v>140214.42108441491</v>
      </c>
      <c r="J37" s="27">
        <f t="shared" si="9"/>
        <v>100153.15791743921</v>
      </c>
      <c r="K37" s="38">
        <f t="shared" si="7"/>
        <v>3.5536235929636208</v>
      </c>
      <c r="L37" s="38">
        <f t="shared" si="4"/>
        <v>3.498496598048765</v>
      </c>
      <c r="M37" s="27">
        <f t="shared" si="8"/>
        <v>385568.15983655286</v>
      </c>
      <c r="N37" s="39">
        <f t="shared" si="5"/>
        <v>271133.48634877929</v>
      </c>
    </row>
    <row r="38" spans="1:14" ht="11.85" customHeight="1" x14ac:dyDescent="0.25">
      <c r="B38" s="71" t="s">
        <v>113</v>
      </c>
      <c r="C38" s="37">
        <f>+C37</f>
        <v>744</v>
      </c>
      <c r="D38" s="38">
        <f>D37*0.5</f>
        <v>0.64614940591896264</v>
      </c>
      <c r="E38" s="27"/>
      <c r="F38" s="27"/>
      <c r="G38" s="27">
        <f t="shared" si="3"/>
        <v>0</v>
      </c>
      <c r="H38" s="27">
        <f t="shared" si="0"/>
        <v>0</v>
      </c>
      <c r="I38" s="27">
        <f t="shared" si="9"/>
        <v>0</v>
      </c>
      <c r="J38" s="27">
        <f t="shared" si="9"/>
        <v>0</v>
      </c>
      <c r="K38" s="38">
        <f t="shared" si="7"/>
        <v>1.7768117964818104</v>
      </c>
      <c r="L38" s="38">
        <f t="shared" si="4"/>
        <v>1.7492482990243825</v>
      </c>
      <c r="M38" s="27">
        <f t="shared" si="8"/>
        <v>0</v>
      </c>
      <c r="N38" s="39">
        <f t="shared" si="5"/>
        <v>0</v>
      </c>
    </row>
    <row r="39" spans="1:14" ht="11.85" customHeight="1" x14ac:dyDescent="0.25">
      <c r="B39" s="36" t="s">
        <v>51</v>
      </c>
      <c r="C39" s="37">
        <v>744</v>
      </c>
      <c r="D39" s="38">
        <f>'Multiplicatori 21-22-TAR'!M11</f>
        <v>1.2420406161851245</v>
      </c>
      <c r="E39" s="27">
        <f>'ESTIMARE I_E-22-23'!G210</f>
        <v>41.666666666666664</v>
      </c>
      <c r="F39" s="27"/>
      <c r="G39" s="27">
        <f t="shared" si="3"/>
        <v>31000</v>
      </c>
      <c r="H39" s="27">
        <f t="shared" si="0"/>
        <v>0</v>
      </c>
      <c r="I39" s="27">
        <f t="shared" si="9"/>
        <v>38503.259101738855</v>
      </c>
      <c r="J39" s="27">
        <f t="shared" si="9"/>
        <v>0</v>
      </c>
      <c r="K39" s="38">
        <f t="shared" si="7"/>
        <v>3.4154212606736385</v>
      </c>
      <c r="L39" s="38">
        <f t="shared" si="4"/>
        <v>3.3624381842324378</v>
      </c>
      <c r="M39" s="27">
        <f t="shared" si="8"/>
        <v>105878.0590808828</v>
      </c>
      <c r="N39" s="39">
        <f t="shared" si="5"/>
        <v>0</v>
      </c>
    </row>
    <row r="40" spans="1:14" ht="11.85" customHeight="1" x14ac:dyDescent="0.25">
      <c r="B40" s="71" t="s">
        <v>114</v>
      </c>
      <c r="C40" s="37">
        <f>+C39</f>
        <v>744</v>
      </c>
      <c r="D40" s="38">
        <f>D39*0.5</f>
        <v>0.62102030809256226</v>
      </c>
      <c r="E40" s="27"/>
      <c r="F40" s="27"/>
      <c r="G40" s="27">
        <f t="shared" si="3"/>
        <v>0</v>
      </c>
      <c r="H40" s="27">
        <f t="shared" si="0"/>
        <v>0</v>
      </c>
      <c r="I40" s="27">
        <f t="shared" si="9"/>
        <v>0</v>
      </c>
      <c r="J40" s="27">
        <f t="shared" si="9"/>
        <v>0</v>
      </c>
      <c r="K40" s="38">
        <f t="shared" si="7"/>
        <v>1.7077106303368192</v>
      </c>
      <c r="L40" s="38">
        <f t="shared" si="4"/>
        <v>1.6812190921162189</v>
      </c>
      <c r="M40" s="27">
        <f t="shared" si="8"/>
        <v>0</v>
      </c>
      <c r="N40" s="39">
        <f t="shared" si="5"/>
        <v>0</v>
      </c>
    </row>
    <row r="41" spans="1:14" ht="11.85" customHeight="1" x14ac:dyDescent="0.25">
      <c r="B41" s="36" t="s">
        <v>52</v>
      </c>
      <c r="C41" s="37">
        <v>720</v>
      </c>
      <c r="D41" s="38">
        <f>'Multiplicatori 21-22-TAR'!N11</f>
        <v>1.1546283387613396</v>
      </c>
      <c r="E41" s="27">
        <f>'ESTIMARE I_E-22-23'!G223</f>
        <v>41.666666666666664</v>
      </c>
      <c r="F41" s="27"/>
      <c r="G41" s="27">
        <f t="shared" si="3"/>
        <v>30000</v>
      </c>
      <c r="H41" s="27">
        <f t="shared" si="0"/>
        <v>0</v>
      </c>
      <c r="I41" s="27">
        <f t="shared" si="9"/>
        <v>34638.850162840186</v>
      </c>
      <c r="J41" s="27">
        <f t="shared" si="9"/>
        <v>0</v>
      </c>
      <c r="K41" s="38">
        <f t="shared" si="7"/>
        <v>3.1750509001019527</v>
      </c>
      <c r="L41" s="38">
        <f t="shared" si="4"/>
        <v>3.1257966641803709</v>
      </c>
      <c r="M41" s="27">
        <f t="shared" si="8"/>
        <v>95251.527003058582</v>
      </c>
      <c r="N41" s="39">
        <f t="shared" si="5"/>
        <v>0</v>
      </c>
    </row>
    <row r="42" spans="1:14" ht="11.85" customHeight="1" x14ac:dyDescent="0.25">
      <c r="B42" s="71" t="s">
        <v>115</v>
      </c>
      <c r="C42" s="37">
        <f>+C41</f>
        <v>720</v>
      </c>
      <c r="D42" s="38">
        <f>D41*0.5</f>
        <v>0.57731416938066982</v>
      </c>
      <c r="E42" s="27"/>
      <c r="F42" s="27"/>
      <c r="G42" s="27">
        <f t="shared" si="3"/>
        <v>0</v>
      </c>
      <c r="H42" s="27">
        <f t="shared" si="0"/>
        <v>0</v>
      </c>
      <c r="I42" s="27">
        <f t="shared" si="9"/>
        <v>0</v>
      </c>
      <c r="J42" s="27">
        <f t="shared" si="9"/>
        <v>0</v>
      </c>
      <c r="K42" s="38">
        <f t="shared" si="7"/>
        <v>1.5875254500509763</v>
      </c>
      <c r="L42" s="38">
        <f t="shared" si="4"/>
        <v>1.5628983320901855</v>
      </c>
      <c r="M42" s="27">
        <f t="shared" si="8"/>
        <v>0</v>
      </c>
      <c r="N42" s="39">
        <f t="shared" si="5"/>
        <v>0</v>
      </c>
    </row>
    <row r="43" spans="1:14" ht="12" customHeight="1" thickBot="1" x14ac:dyDescent="0.3">
      <c r="B43" s="40" t="s">
        <v>0</v>
      </c>
      <c r="C43" s="41"/>
      <c r="D43" s="42"/>
      <c r="E43" s="43"/>
      <c r="F43" s="43"/>
      <c r="G43" s="43">
        <f>SUM(G7:G42)</f>
        <v>318807116.06195974</v>
      </c>
      <c r="H43" s="43">
        <f>SUM(H7:H42)</f>
        <v>339306622.88302165</v>
      </c>
      <c r="I43" s="43">
        <f>SUM(I7:I42)</f>
        <v>333274728.54305351</v>
      </c>
      <c r="J43" s="43">
        <f>SUM(J7:J42)</f>
        <v>338526251.23308265</v>
      </c>
      <c r="K43" s="42"/>
      <c r="L43" s="42"/>
      <c r="M43" s="43">
        <f>SUM(M7:M42)</f>
        <v>916454404.69357562</v>
      </c>
      <c r="N43" s="44">
        <f>SUM(N7:N42)</f>
        <v>916454404.69357598</v>
      </c>
    </row>
    <row r="44" spans="1:14" ht="12" customHeight="1" thickTop="1" x14ac:dyDescent="0.25">
      <c r="B44" s="45"/>
      <c r="C44" s="46"/>
      <c r="I44" s="24">
        <v>179177833.23152</v>
      </c>
      <c r="J44" s="24">
        <v>182820918.03259999</v>
      </c>
      <c r="K44" s="23"/>
      <c r="L44" s="23"/>
      <c r="M44" s="23"/>
      <c r="N44" s="23"/>
    </row>
    <row r="45" spans="1:14" ht="12" customHeight="1" x14ac:dyDescent="0.25">
      <c r="B45" s="45"/>
      <c r="C45" s="46"/>
      <c r="K45" s="23"/>
      <c r="L45" s="23"/>
      <c r="M45" s="23"/>
      <c r="N45" s="23"/>
    </row>
    <row r="46" spans="1:14" ht="11.85" customHeight="1" x14ac:dyDescent="0.25">
      <c r="B46" s="45"/>
      <c r="C46" s="46"/>
      <c r="J46" s="29"/>
      <c r="M46" s="47">
        <f>M43-E3*1000</f>
        <v>0</v>
      </c>
      <c r="N46" s="47">
        <f>N43-F3*1000</f>
        <v>0</v>
      </c>
    </row>
    <row r="48" spans="1:14" s="24" customFormat="1" ht="11.85" customHeight="1" x14ac:dyDescent="0.25">
      <c r="A48" s="23"/>
      <c r="B48" s="23" t="s">
        <v>59</v>
      </c>
      <c r="C48" s="24">
        <f>C2-C3</f>
        <v>323454.49577420321</v>
      </c>
    </row>
    <row r="49" spans="1:5" s="24" customFormat="1" ht="11.85" customHeight="1" x14ac:dyDescent="0.25">
      <c r="A49" s="23"/>
      <c r="B49" s="23" t="s">
        <v>60</v>
      </c>
      <c r="C49" s="24">
        <f>'Multiplicatori 21-22-TAR'!F32</f>
        <v>264287607.0605405</v>
      </c>
    </row>
    <row r="51" spans="1:5" s="24" customFormat="1" ht="11.85" customHeight="1" x14ac:dyDescent="0.25">
      <c r="A51" s="23"/>
      <c r="B51" s="23" t="s">
        <v>61</v>
      </c>
      <c r="C51" s="29">
        <f>(C48*1000)/C49</f>
        <v>1.2238731107059035</v>
      </c>
      <c r="D51" s="48"/>
      <c r="E51" s="49"/>
    </row>
    <row r="52" spans="1:5" s="24" customFormat="1" ht="11.85" customHeight="1" x14ac:dyDescent="0.25">
      <c r="A52" s="23"/>
      <c r="B52" s="50"/>
      <c r="C52" s="51"/>
      <c r="D52" s="29"/>
      <c r="E52" s="25"/>
    </row>
    <row r="53" spans="1:5" s="24" customFormat="1" ht="11.85" customHeight="1" x14ac:dyDescent="0.25">
      <c r="A53" s="23"/>
      <c r="B53" s="50"/>
      <c r="C53" s="51"/>
      <c r="D53" s="29"/>
      <c r="E53" s="25"/>
    </row>
    <row r="54" spans="1:5" ht="11.85" customHeight="1" x14ac:dyDescent="0.25">
      <c r="B54" s="23" t="s">
        <v>62</v>
      </c>
      <c r="C54" s="29">
        <f>C2*1000/C49</f>
        <v>8.1591540713726918</v>
      </c>
    </row>
  </sheetData>
  <mergeCells count="5"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O256"/>
  <sheetViews>
    <sheetView showGridLines="0" view="pageBreakPreview" zoomScale="110" zoomScaleNormal="100" zoomScaleSheetLayoutView="110" workbookViewId="0">
      <selection activeCell="A2" sqref="A2:I2"/>
    </sheetView>
  </sheetViews>
  <sheetFormatPr defaultColWidth="9.140625" defaultRowHeight="16.5" x14ac:dyDescent="0.25"/>
  <cols>
    <col min="1" max="1" width="52.7109375" style="4" customWidth="1"/>
    <col min="2" max="2" width="15.85546875" style="4" customWidth="1"/>
    <col min="3" max="3" width="13.7109375" style="4" customWidth="1"/>
    <col min="4" max="5" width="14" style="4" customWidth="1"/>
    <col min="6" max="6" width="15.140625" style="4" customWidth="1"/>
    <col min="7" max="7" width="12.85546875" style="4" customWidth="1"/>
    <col min="8" max="8" width="11.85546875" style="4" customWidth="1"/>
    <col min="9" max="9" width="10.85546875" style="4" customWidth="1"/>
    <col min="10" max="10" width="38.42578125" style="4" hidden="1" customWidth="1"/>
    <col min="11" max="11" width="11.85546875" style="4" hidden="1" customWidth="1"/>
    <col min="12" max="16384" width="9.140625" style="4"/>
  </cols>
  <sheetData>
    <row r="1" spans="1:15" ht="17.25" x14ac:dyDescent="0.25">
      <c r="A1" s="1" t="s">
        <v>1</v>
      </c>
      <c r="B1" s="1"/>
      <c r="C1" s="1"/>
      <c r="D1" s="2"/>
      <c r="E1" s="2"/>
      <c r="F1" s="2"/>
      <c r="G1" s="201">
        <f>G5-G6</f>
        <v>14409.701384543367</v>
      </c>
      <c r="H1" s="2"/>
      <c r="I1" s="3" t="s">
        <v>116</v>
      </c>
      <c r="N1" s="4">
        <v>24</v>
      </c>
      <c r="O1" s="4">
        <v>10.65</v>
      </c>
    </row>
    <row r="2" spans="1:15" s="2" customFormat="1" ht="29.25" customHeight="1" thickBot="1" x14ac:dyDescent="0.3">
      <c r="A2" s="479" t="s">
        <v>247</v>
      </c>
      <c r="B2" s="479"/>
      <c r="C2" s="479"/>
      <c r="D2" s="479"/>
      <c r="E2" s="479"/>
      <c r="F2" s="479"/>
      <c r="G2" s="479"/>
      <c r="H2" s="479"/>
      <c r="I2" s="479"/>
      <c r="J2" s="2" t="s">
        <v>117</v>
      </c>
    </row>
    <row r="3" spans="1:15" s="5" customFormat="1" ht="99" x14ac:dyDescent="0.25">
      <c r="A3" s="73" t="s">
        <v>118</v>
      </c>
      <c r="B3" s="480" t="s">
        <v>119</v>
      </c>
      <c r="C3" s="481"/>
      <c r="D3" s="481"/>
      <c r="E3" s="482"/>
      <c r="F3" s="483" t="s">
        <v>120</v>
      </c>
      <c r="G3" s="481"/>
      <c r="H3" s="481"/>
      <c r="I3" s="482"/>
      <c r="J3" s="5" t="s">
        <v>121</v>
      </c>
    </row>
    <row r="4" spans="1:15" ht="17.25" thickBot="1" x14ac:dyDescent="0.3">
      <c r="A4" s="74"/>
      <c r="B4" s="75" t="s">
        <v>2</v>
      </c>
      <c r="C4" s="76" t="s">
        <v>3</v>
      </c>
      <c r="D4" s="76" t="s">
        <v>4</v>
      </c>
      <c r="E4" s="77" t="s">
        <v>5</v>
      </c>
      <c r="F4" s="78" t="s">
        <v>2</v>
      </c>
      <c r="G4" s="76" t="s">
        <v>3</v>
      </c>
      <c r="H4" s="76" t="s">
        <v>4</v>
      </c>
      <c r="I4" s="77" t="s">
        <v>5</v>
      </c>
      <c r="K4" s="6"/>
    </row>
    <row r="5" spans="1:15" ht="17.25" thickBot="1" x14ac:dyDescent="0.3">
      <c r="A5" s="79" t="s">
        <v>122</v>
      </c>
      <c r="B5" s="80">
        <f>SUM(B6:B10)</f>
        <v>356856.57578800002</v>
      </c>
      <c r="C5" s="81">
        <f t="shared" ref="C5:C15" si="0">B5/24</f>
        <v>14869.023991166667</v>
      </c>
      <c r="D5" s="81">
        <f>B5/10.65</f>
        <v>33507.659698403753</v>
      </c>
      <c r="E5" s="82">
        <f>C5/10.65</f>
        <v>1396.1524874334898</v>
      </c>
      <c r="F5" s="83">
        <f>SUM(F6:F11)</f>
        <v>368298.48574520071</v>
      </c>
      <c r="G5" s="84">
        <f t="shared" ref="G5:G18" si="1">F5/$N$1</f>
        <v>15345.770239383362</v>
      </c>
      <c r="H5" s="84">
        <f>F5/10.65</f>
        <v>34582.017440863914</v>
      </c>
      <c r="I5" s="85">
        <f>G5/10.65</f>
        <v>1440.9173933693298</v>
      </c>
      <c r="K5" s="4">
        <v>376948.48574520025</v>
      </c>
    </row>
    <row r="6" spans="1:15" x14ac:dyDescent="0.25">
      <c r="A6" s="86" t="s">
        <v>123</v>
      </c>
      <c r="B6" s="87">
        <v>21268.200120000001</v>
      </c>
      <c r="C6" s="88">
        <f t="shared" si="0"/>
        <v>886.17500500000006</v>
      </c>
      <c r="D6" s="88">
        <f t="shared" ref="D6:E10" si="2">B6/10.65</f>
        <v>1997.014095774648</v>
      </c>
      <c r="E6" s="89">
        <f t="shared" si="2"/>
        <v>83.208920657276991</v>
      </c>
      <c r="F6" s="90">
        <v>22465.652516159895</v>
      </c>
      <c r="G6" s="91">
        <f t="shared" si="1"/>
        <v>936.06885483999565</v>
      </c>
      <c r="H6" s="91">
        <f t="shared" ref="H6:I11" si="3">F6/10.65</f>
        <v>2109.4509404844971</v>
      </c>
      <c r="I6" s="92">
        <f t="shared" si="3"/>
        <v>87.89378918685405</v>
      </c>
      <c r="K6" s="93">
        <f>B6/$B$5</f>
        <v>5.9598733953651263E-2</v>
      </c>
    </row>
    <row r="7" spans="1:15" x14ac:dyDescent="0.25">
      <c r="A7" s="94" t="s">
        <v>124</v>
      </c>
      <c r="B7" s="7">
        <v>20223.833793999998</v>
      </c>
      <c r="C7" s="8">
        <f t="shared" si="0"/>
        <v>842.65974141666663</v>
      </c>
      <c r="D7" s="8">
        <f t="shared" si="2"/>
        <v>1898.9515299530515</v>
      </c>
      <c r="E7" s="9">
        <f t="shared" si="2"/>
        <v>79.122980414710483</v>
      </c>
      <c r="F7" s="90">
        <v>21101.821776750101</v>
      </c>
      <c r="G7" s="95">
        <f t="shared" si="1"/>
        <v>879.24257403125421</v>
      </c>
      <c r="H7" s="95">
        <f t="shared" si="3"/>
        <v>1981.39171612677</v>
      </c>
      <c r="I7" s="96">
        <f t="shared" si="3"/>
        <v>82.55798817194875</v>
      </c>
      <c r="J7" s="4" t="s">
        <v>125</v>
      </c>
      <c r="K7" s="93">
        <f>B7/$B$5</f>
        <v>5.6672162336766065E-2</v>
      </c>
    </row>
    <row r="8" spans="1:15" x14ac:dyDescent="0.25">
      <c r="A8" s="94" t="s">
        <v>126</v>
      </c>
      <c r="B8" s="7">
        <v>240.25327100000001</v>
      </c>
      <c r="C8" s="8">
        <f t="shared" si="0"/>
        <v>10.010552958333333</v>
      </c>
      <c r="D8" s="8">
        <f t="shared" si="2"/>
        <v>22.558992582159625</v>
      </c>
      <c r="E8" s="9">
        <f t="shared" si="2"/>
        <v>0.93995802425665098</v>
      </c>
      <c r="F8" s="90">
        <v>514.44412580769301</v>
      </c>
      <c r="G8" s="95">
        <f t="shared" si="1"/>
        <v>21.435171908653874</v>
      </c>
      <c r="H8" s="95">
        <f t="shared" si="3"/>
        <v>48.304612751896059</v>
      </c>
      <c r="I8" s="96">
        <f t="shared" si="3"/>
        <v>2.0126921979956687</v>
      </c>
      <c r="J8" s="4" t="s">
        <v>127</v>
      </c>
      <c r="K8" s="93">
        <f>B8/$B$5</f>
        <v>6.7324882684165178E-4</v>
      </c>
    </row>
    <row r="9" spans="1:15" x14ac:dyDescent="0.25">
      <c r="A9" s="94" t="s">
        <v>128</v>
      </c>
      <c r="B9" s="10">
        <v>0</v>
      </c>
      <c r="C9" s="11">
        <f t="shared" si="0"/>
        <v>0</v>
      </c>
      <c r="D9" s="11">
        <f t="shared" si="2"/>
        <v>0</v>
      </c>
      <c r="E9" s="97">
        <f t="shared" si="2"/>
        <v>0</v>
      </c>
      <c r="F9" s="90">
        <v>0</v>
      </c>
      <c r="G9" s="98">
        <f t="shared" si="1"/>
        <v>0</v>
      </c>
      <c r="H9" s="98">
        <f t="shared" si="3"/>
        <v>0</v>
      </c>
      <c r="I9" s="99">
        <f t="shared" si="3"/>
        <v>0</v>
      </c>
      <c r="K9" s="93">
        <f>B9/$B$5</f>
        <v>0</v>
      </c>
    </row>
    <row r="10" spans="1:15" x14ac:dyDescent="0.25">
      <c r="A10" s="100" t="s">
        <v>129</v>
      </c>
      <c r="B10" s="10">
        <v>315124.28860299999</v>
      </c>
      <c r="C10" s="11">
        <f t="shared" si="0"/>
        <v>13130.178691791667</v>
      </c>
      <c r="D10" s="11">
        <f t="shared" si="2"/>
        <v>29589.135080093896</v>
      </c>
      <c r="E10" s="97">
        <f t="shared" si="2"/>
        <v>1232.8806283372458</v>
      </c>
      <c r="F10" s="90">
        <f>332866.567326483-16600</f>
        <v>316266.56732648303</v>
      </c>
      <c r="G10" s="98">
        <f t="shared" si="1"/>
        <v>13177.773638603459</v>
      </c>
      <c r="H10" s="98">
        <f t="shared" si="3"/>
        <v>29696.391298261315</v>
      </c>
      <c r="I10" s="99">
        <f t="shared" si="3"/>
        <v>1237.3496374275549</v>
      </c>
      <c r="J10" s="4" t="s">
        <v>130</v>
      </c>
      <c r="K10" s="93">
        <f>B10/$B$5</f>
        <v>0.88305585488274096</v>
      </c>
    </row>
    <row r="11" spans="1:15" ht="17.25" thickBot="1" x14ac:dyDescent="0.3">
      <c r="A11" s="101" t="s">
        <v>131</v>
      </c>
      <c r="B11" s="102"/>
      <c r="C11" s="103"/>
      <c r="D11" s="103"/>
      <c r="E11" s="104"/>
      <c r="F11" s="105">
        <f>1325*24/4</f>
        <v>7950</v>
      </c>
      <c r="G11" s="106">
        <f t="shared" si="1"/>
        <v>331.25</v>
      </c>
      <c r="H11" s="106">
        <f t="shared" si="3"/>
        <v>746.47887323943655</v>
      </c>
      <c r="I11" s="107">
        <f t="shared" si="3"/>
        <v>31.103286384976524</v>
      </c>
      <c r="K11" s="93"/>
    </row>
    <row r="12" spans="1:15" s="13" customFormat="1" ht="17.25" thickBot="1" x14ac:dyDescent="0.3">
      <c r="A12" s="108" t="s">
        <v>132</v>
      </c>
      <c r="B12" s="80">
        <f>SUM(B13:B17)</f>
        <v>358051.94843899994</v>
      </c>
      <c r="C12" s="81">
        <f t="shared" si="0"/>
        <v>14918.831184958332</v>
      </c>
      <c r="D12" s="81">
        <f>B12/10.65</f>
        <v>33619.901261877931</v>
      </c>
      <c r="E12" s="82">
        <f>C12/10.65</f>
        <v>1400.8292192449137</v>
      </c>
      <c r="F12" s="109">
        <f>SUM(F13:F18)</f>
        <v>716467.05317956978</v>
      </c>
      <c r="G12" s="110">
        <f t="shared" si="1"/>
        <v>29852.793882482074</v>
      </c>
      <c r="H12" s="110">
        <f>F12/10.65</f>
        <v>67273.90170700186</v>
      </c>
      <c r="I12" s="111">
        <f>G12/10.65</f>
        <v>2803.0792377917442</v>
      </c>
      <c r="K12" s="112">
        <v>378401.87002456019</v>
      </c>
    </row>
    <row r="13" spans="1:15" s="13" customFormat="1" x14ac:dyDescent="0.25">
      <c r="A13" s="86" t="s">
        <v>133</v>
      </c>
      <c r="B13" s="87">
        <v>125550.84508500001</v>
      </c>
      <c r="C13" s="88">
        <f t="shared" si="0"/>
        <v>5231.2852118750006</v>
      </c>
      <c r="D13" s="88">
        <f t="shared" ref="D13:E18" si="4">B13/10.65</f>
        <v>11788.811745070423</v>
      </c>
      <c r="E13" s="89">
        <f t="shared" si="4"/>
        <v>491.20048937793433</v>
      </c>
      <c r="F13" s="113">
        <f>130154.463796421-16600</f>
        <v>113554.463796421</v>
      </c>
      <c r="G13" s="114">
        <f t="shared" si="1"/>
        <v>4731.4359915175419</v>
      </c>
      <c r="H13" s="114">
        <f t="shared" ref="H13:I18" si="5">F13/10.65</f>
        <v>10662.390966800092</v>
      </c>
      <c r="I13" s="115">
        <f t="shared" si="5"/>
        <v>444.26629028333724</v>
      </c>
      <c r="J13" s="4" t="s">
        <v>130</v>
      </c>
      <c r="K13" s="116">
        <v>0.35064980272377899</v>
      </c>
    </row>
    <row r="14" spans="1:15" s="13" customFormat="1" x14ac:dyDescent="0.25">
      <c r="A14" s="94" t="s">
        <v>134</v>
      </c>
      <c r="B14" s="7">
        <v>190818.23072699999</v>
      </c>
      <c r="C14" s="8">
        <f t="shared" si="0"/>
        <v>7950.7596136249995</v>
      </c>
      <c r="D14" s="8">
        <f t="shared" si="4"/>
        <v>17917.204763098591</v>
      </c>
      <c r="E14" s="9">
        <f t="shared" si="4"/>
        <v>746.55019846244124</v>
      </c>
      <c r="F14" s="117">
        <f>B255</f>
        <v>548378.58886100119</v>
      </c>
      <c r="G14" s="95">
        <f t="shared" si="1"/>
        <v>22849.107869208383</v>
      </c>
      <c r="H14" s="95">
        <f t="shared" si="5"/>
        <v>51490.94731089213</v>
      </c>
      <c r="I14" s="96">
        <f t="shared" si="5"/>
        <v>2145.4561379538386</v>
      </c>
      <c r="K14" s="116">
        <v>0.53293448495088702</v>
      </c>
    </row>
    <row r="15" spans="1:15" s="13" customFormat="1" x14ac:dyDescent="0.25">
      <c r="A15" s="94" t="s">
        <v>135</v>
      </c>
      <c r="B15" s="7">
        <v>41682.872626999997</v>
      </c>
      <c r="C15" s="8">
        <f t="shared" si="0"/>
        <v>1736.7863594583332</v>
      </c>
      <c r="D15" s="8">
        <f t="shared" si="4"/>
        <v>3913.8847537089196</v>
      </c>
      <c r="E15" s="9">
        <f t="shared" si="4"/>
        <v>163.07853140453832</v>
      </c>
      <c r="F15" s="117">
        <v>44051.923244147692</v>
      </c>
      <c r="G15" s="95">
        <f t="shared" si="1"/>
        <v>1835.4968018394873</v>
      </c>
      <c r="H15" s="95">
        <f t="shared" si="5"/>
        <v>4136.3308210467312</v>
      </c>
      <c r="I15" s="96">
        <f t="shared" si="5"/>
        <v>172.34711754361382</v>
      </c>
      <c r="K15" s="116">
        <v>0.11641571232533417</v>
      </c>
    </row>
    <row r="16" spans="1:15" s="13" customFormat="1" x14ac:dyDescent="0.25">
      <c r="A16" s="94" t="s">
        <v>136</v>
      </c>
      <c r="B16" s="7"/>
      <c r="C16" s="8"/>
      <c r="D16" s="8">
        <f t="shared" si="4"/>
        <v>0</v>
      </c>
      <c r="E16" s="9">
        <f t="shared" si="4"/>
        <v>0</v>
      </c>
      <c r="F16" s="117">
        <v>0</v>
      </c>
      <c r="G16" s="95">
        <f t="shared" si="1"/>
        <v>0</v>
      </c>
      <c r="H16" s="95">
        <f t="shared" si="5"/>
        <v>0</v>
      </c>
      <c r="I16" s="96">
        <f t="shared" si="5"/>
        <v>0</v>
      </c>
      <c r="K16" s="116">
        <v>0</v>
      </c>
    </row>
    <row r="17" spans="1:11" s="13" customFormat="1" ht="17.25" thickBot="1" x14ac:dyDescent="0.3">
      <c r="A17" s="94" t="s">
        <v>137</v>
      </c>
      <c r="B17" s="7"/>
      <c r="C17" s="8"/>
      <c r="D17" s="8">
        <f t="shared" si="4"/>
        <v>0</v>
      </c>
      <c r="E17" s="9">
        <f t="shared" si="4"/>
        <v>0</v>
      </c>
      <c r="F17" s="118">
        <f>2532.077278+F11</f>
        <v>10482.077278000001</v>
      </c>
      <c r="G17" s="95">
        <f t="shared" si="1"/>
        <v>436.75321991666669</v>
      </c>
      <c r="H17" s="95">
        <f t="shared" si="5"/>
        <v>984.23260826291084</v>
      </c>
      <c r="I17" s="96">
        <f t="shared" si="5"/>
        <v>41.009692010954616</v>
      </c>
      <c r="J17" s="4" t="s">
        <v>138</v>
      </c>
      <c r="K17" s="116">
        <v>0</v>
      </c>
    </row>
    <row r="18" spans="1:11" s="13" customFormat="1" ht="17.25" thickBot="1" x14ac:dyDescent="0.3">
      <c r="A18" s="119" t="s">
        <v>139</v>
      </c>
      <c r="B18" s="12"/>
      <c r="C18" s="120"/>
      <c r="D18" s="120">
        <v>0</v>
      </c>
      <c r="E18" s="121">
        <f t="shared" si="4"/>
        <v>0</v>
      </c>
      <c r="F18" s="122">
        <v>0</v>
      </c>
      <c r="G18" s="123">
        <f t="shared" si="1"/>
        <v>0</v>
      </c>
      <c r="H18" s="123">
        <f t="shared" si="5"/>
        <v>0</v>
      </c>
      <c r="I18" s="124">
        <f t="shared" si="5"/>
        <v>0</v>
      </c>
      <c r="J18" s="83">
        <v>376948.48574520025</v>
      </c>
      <c r="K18" s="116">
        <v>0</v>
      </c>
    </row>
    <row r="19" spans="1:11" s="13" customFormat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25">
        <f>SUM(F6:F10)</f>
        <v>360348.48574520071</v>
      </c>
    </row>
    <row r="20" spans="1:11" ht="15" customHeight="1" thickBot="1" x14ac:dyDescent="0.3">
      <c r="A20" s="2"/>
      <c r="B20" s="2"/>
      <c r="C20" s="2"/>
      <c r="E20" s="16"/>
      <c r="F20" s="16"/>
      <c r="G20" s="16"/>
      <c r="H20" s="16"/>
      <c r="I20" s="16"/>
      <c r="J20" s="126">
        <f>J18-J19</f>
        <v>16599.999999999534</v>
      </c>
    </row>
    <row r="21" spans="1:11" ht="18.75" customHeight="1" x14ac:dyDescent="0.25">
      <c r="A21" s="484" t="s">
        <v>8</v>
      </c>
      <c r="B21" s="486" t="s">
        <v>140</v>
      </c>
      <c r="C21" s="487"/>
      <c r="D21" s="487"/>
      <c r="E21" s="488"/>
      <c r="F21" s="489" t="s">
        <v>141</v>
      </c>
      <c r="G21" s="487"/>
      <c r="H21" s="487"/>
      <c r="I21" s="488"/>
    </row>
    <row r="22" spans="1:11" x14ac:dyDescent="0.25">
      <c r="A22" s="485"/>
      <c r="B22" s="68" t="s">
        <v>2</v>
      </c>
      <c r="C22" s="69" t="s">
        <v>3</v>
      </c>
      <c r="D22" s="69" t="s">
        <v>4</v>
      </c>
      <c r="E22" s="70" t="s">
        <v>5</v>
      </c>
      <c r="F22" s="127" t="s">
        <v>2</v>
      </c>
      <c r="G22" s="69" t="s">
        <v>3</v>
      </c>
      <c r="H22" s="69" t="s">
        <v>4</v>
      </c>
      <c r="I22" s="70" t="s">
        <v>5</v>
      </c>
    </row>
    <row r="23" spans="1:11" ht="17.25" customHeight="1" thickBot="1" x14ac:dyDescent="0.3">
      <c r="A23" s="128" t="s">
        <v>9</v>
      </c>
      <c r="B23" s="490" t="s">
        <v>10</v>
      </c>
      <c r="C23" s="491"/>
      <c r="D23" s="491"/>
      <c r="E23" s="492"/>
      <c r="F23" s="493" t="s">
        <v>142</v>
      </c>
      <c r="G23" s="491"/>
      <c r="H23" s="491"/>
      <c r="I23" s="492"/>
    </row>
    <row r="24" spans="1:11" ht="17.25" thickBot="1" x14ac:dyDescent="0.3">
      <c r="A24" s="79" t="s">
        <v>122</v>
      </c>
      <c r="B24" s="129">
        <f>SUM(B25:B29)</f>
        <v>61635.472996000004</v>
      </c>
      <c r="C24" s="130">
        <f t="shared" ref="C24:C35" si="6">B24/$N$1</f>
        <v>2568.144708166667</v>
      </c>
      <c r="D24" s="131">
        <f t="shared" ref="D24:E61" si="7">B24/10.65</f>
        <v>5787.3683564319253</v>
      </c>
      <c r="E24" s="132">
        <f t="shared" si="7"/>
        <v>241.14034818466357</v>
      </c>
      <c r="F24" s="133">
        <f>SUM(F25:F29)</f>
        <v>78851.827726970019</v>
      </c>
      <c r="G24" s="134">
        <f t="shared" ref="G24:G35" si="8">F24/$N$1</f>
        <v>3285.4928219570843</v>
      </c>
      <c r="H24" s="134">
        <f>F24/10.65</f>
        <v>7403.9274861004715</v>
      </c>
      <c r="I24" s="135">
        <f>G24/10.65</f>
        <v>308.49697858751966</v>
      </c>
    </row>
    <row r="25" spans="1:11" x14ac:dyDescent="0.25">
      <c r="A25" s="86" t="s">
        <v>123</v>
      </c>
      <c r="B25" s="136">
        <v>301.952</v>
      </c>
      <c r="C25" s="137">
        <f t="shared" si="6"/>
        <v>12.581333333333333</v>
      </c>
      <c r="D25" s="138">
        <f t="shared" si="7"/>
        <v>28.352300469483566</v>
      </c>
      <c r="E25" s="139">
        <f t="shared" si="7"/>
        <v>1.1813458528951486</v>
      </c>
      <c r="F25" s="140">
        <v>304.97152000494799</v>
      </c>
      <c r="G25" s="141">
        <f t="shared" si="8"/>
        <v>12.707146666872832</v>
      </c>
      <c r="H25" s="141">
        <f t="shared" ref="H25:I29" si="9">F25/10.65</f>
        <v>28.635823474643004</v>
      </c>
      <c r="I25" s="142">
        <f t="shared" si="9"/>
        <v>1.1931593114434584</v>
      </c>
      <c r="K25" s="93">
        <f>B25/$B$24</f>
        <v>4.8989970437899608E-3</v>
      </c>
    </row>
    <row r="26" spans="1:11" x14ac:dyDescent="0.25">
      <c r="A26" s="94" t="s">
        <v>124</v>
      </c>
      <c r="B26" s="143">
        <v>6885</v>
      </c>
      <c r="C26" s="144">
        <f t="shared" si="6"/>
        <v>286.875</v>
      </c>
      <c r="D26" s="145">
        <f t="shared" si="7"/>
        <v>646.47887323943655</v>
      </c>
      <c r="E26" s="20">
        <f t="shared" si="7"/>
        <v>26.93661971830986</v>
      </c>
      <c r="F26" s="140">
        <f>6953.85000011282+16600</f>
        <v>23553.85000011282</v>
      </c>
      <c r="G26" s="146">
        <f t="shared" si="8"/>
        <v>981.41041667136744</v>
      </c>
      <c r="H26" s="146">
        <f t="shared" si="9"/>
        <v>2211.6291079918142</v>
      </c>
      <c r="I26" s="147">
        <f t="shared" si="9"/>
        <v>92.151212832992243</v>
      </c>
      <c r="J26" s="4" t="s">
        <v>143</v>
      </c>
      <c r="K26" s="93">
        <f>B26/$B$24</f>
        <v>0.11170515395325709</v>
      </c>
    </row>
    <row r="27" spans="1:11" x14ac:dyDescent="0.25">
      <c r="A27" s="94" t="s">
        <v>126</v>
      </c>
      <c r="B27" s="143">
        <v>0</v>
      </c>
      <c r="C27" s="144">
        <f t="shared" si="6"/>
        <v>0</v>
      </c>
      <c r="D27" s="145">
        <f t="shared" si="7"/>
        <v>0</v>
      </c>
      <c r="E27" s="20">
        <f t="shared" si="7"/>
        <v>0</v>
      </c>
      <c r="F27" s="140">
        <v>0</v>
      </c>
      <c r="G27" s="146">
        <f t="shared" si="8"/>
        <v>0</v>
      </c>
      <c r="H27" s="146">
        <f t="shared" si="9"/>
        <v>0</v>
      </c>
      <c r="I27" s="147">
        <f t="shared" si="9"/>
        <v>0</v>
      </c>
      <c r="K27" s="93">
        <f>B27/$B$24</f>
        <v>0</v>
      </c>
    </row>
    <row r="28" spans="1:11" x14ac:dyDescent="0.25">
      <c r="A28" s="94" t="s">
        <v>128</v>
      </c>
      <c r="B28" s="143">
        <v>1</v>
      </c>
      <c r="C28" s="144">
        <f t="shared" si="6"/>
        <v>4.1666666666666664E-2</v>
      </c>
      <c r="D28" s="145">
        <f t="shared" si="7"/>
        <v>9.3896713615023469E-2</v>
      </c>
      <c r="E28" s="20">
        <f t="shared" si="7"/>
        <v>3.912363067292644E-3</v>
      </c>
      <c r="F28" s="140">
        <v>1.0100000000163867</v>
      </c>
      <c r="G28" s="146">
        <f t="shared" si="8"/>
        <v>4.2083333334016114E-2</v>
      </c>
      <c r="H28" s="146">
        <f t="shared" si="9"/>
        <v>9.4835680752712356E-2</v>
      </c>
      <c r="I28" s="147">
        <f t="shared" si="9"/>
        <v>3.9514866980296815E-3</v>
      </c>
      <c r="K28" s="93">
        <f>B28/$B$24</f>
        <v>1.6224423232136104E-5</v>
      </c>
    </row>
    <row r="29" spans="1:11" ht="17.25" thickBot="1" x14ac:dyDescent="0.3">
      <c r="A29" s="100" t="s">
        <v>129</v>
      </c>
      <c r="B29" s="148">
        <v>54447.520996000007</v>
      </c>
      <c r="C29" s="149">
        <f t="shared" si="6"/>
        <v>2268.6467081666669</v>
      </c>
      <c r="D29" s="150">
        <f t="shared" si="7"/>
        <v>5112.4432860093902</v>
      </c>
      <c r="E29" s="151">
        <f t="shared" si="7"/>
        <v>213.01847025039126</v>
      </c>
      <c r="F29" s="140">
        <v>54991.996206852229</v>
      </c>
      <c r="G29" s="152">
        <f t="shared" si="8"/>
        <v>2291.3331752855097</v>
      </c>
      <c r="H29" s="152">
        <f t="shared" si="9"/>
        <v>5163.5677189532607</v>
      </c>
      <c r="I29" s="153">
        <f t="shared" si="9"/>
        <v>215.14865495638588</v>
      </c>
      <c r="K29" s="93">
        <f>B29/$B$24</f>
        <v>0.88337962457972086</v>
      </c>
    </row>
    <row r="30" spans="1:11" s="17" customFormat="1" ht="17.25" thickBot="1" x14ac:dyDescent="0.3">
      <c r="A30" s="108" t="s">
        <v>132</v>
      </c>
      <c r="B30" s="154">
        <f>SUM(B31:B35)</f>
        <v>65719.606039999984</v>
      </c>
      <c r="C30" s="130">
        <f t="shared" si="6"/>
        <v>2738.3169183333325</v>
      </c>
      <c r="D30" s="131">
        <f t="shared" si="7"/>
        <v>6170.8550272300454</v>
      </c>
      <c r="E30" s="132">
        <f t="shared" si="7"/>
        <v>257.11895946791856</v>
      </c>
      <c r="F30" s="155">
        <f>SUM(F31:F35)</f>
        <v>25970.258636583312</v>
      </c>
      <c r="G30" s="156">
        <f t="shared" si="8"/>
        <v>1082.0941098576379</v>
      </c>
      <c r="H30" s="156">
        <f>F30/10.65</f>
        <v>2438.5219377073531</v>
      </c>
      <c r="I30" s="157">
        <f>G30/10.65</f>
        <v>101.60508073780638</v>
      </c>
    </row>
    <row r="31" spans="1:11" x14ac:dyDescent="0.25">
      <c r="A31" s="86" t="s">
        <v>133</v>
      </c>
      <c r="B31" s="158">
        <v>9200.4859649999999</v>
      </c>
      <c r="C31" s="137">
        <f t="shared" si="6"/>
        <v>383.35358187499997</v>
      </c>
      <c r="D31" s="159">
        <f t="shared" si="7"/>
        <v>863.8953957746478</v>
      </c>
      <c r="E31" s="160">
        <f t="shared" si="7"/>
        <v>35.995641490610325</v>
      </c>
      <c r="F31" s="140">
        <f>9370.25863658331+16600</f>
        <v>25970.258636583312</v>
      </c>
      <c r="G31" s="141">
        <f t="shared" si="8"/>
        <v>1082.0941098576379</v>
      </c>
      <c r="H31" s="141">
        <f t="shared" ref="H31:I35" si="10">F31/10.65</f>
        <v>2438.5219377073531</v>
      </c>
      <c r="I31" s="142">
        <f t="shared" si="10"/>
        <v>101.60508073780638</v>
      </c>
      <c r="J31" s="4" t="s">
        <v>143</v>
      </c>
      <c r="K31" s="93">
        <f>B31/$B$30</f>
        <v>0.13999606083152963</v>
      </c>
    </row>
    <row r="32" spans="1:11" x14ac:dyDescent="0.25">
      <c r="A32" s="94" t="s">
        <v>134</v>
      </c>
      <c r="B32" s="161">
        <v>56519.120074999984</v>
      </c>
      <c r="C32" s="162">
        <f t="shared" si="6"/>
        <v>2354.9633364583328</v>
      </c>
      <c r="D32" s="163">
        <f t="shared" si="7"/>
        <v>5306.9596314553974</v>
      </c>
      <c r="E32" s="164">
        <f t="shared" si="7"/>
        <v>221.12331797730823</v>
      </c>
      <c r="F32" s="140"/>
      <c r="G32" s="146">
        <f t="shared" si="8"/>
        <v>0</v>
      </c>
      <c r="H32" s="146">
        <f t="shared" si="10"/>
        <v>0</v>
      </c>
      <c r="I32" s="147">
        <f t="shared" si="10"/>
        <v>0</v>
      </c>
      <c r="K32" s="93">
        <f>B32/$B$30</f>
        <v>0.8600039391684704</v>
      </c>
    </row>
    <row r="33" spans="1:11" x14ac:dyDescent="0.25">
      <c r="A33" s="94" t="s">
        <v>136</v>
      </c>
      <c r="B33" s="161">
        <v>0</v>
      </c>
      <c r="C33" s="162">
        <f t="shared" si="6"/>
        <v>0</v>
      </c>
      <c r="D33" s="163">
        <f t="shared" si="7"/>
        <v>0</v>
      </c>
      <c r="E33" s="164">
        <f t="shared" si="7"/>
        <v>0</v>
      </c>
      <c r="F33" s="140">
        <v>0</v>
      </c>
      <c r="G33" s="146">
        <f t="shared" si="8"/>
        <v>0</v>
      </c>
      <c r="H33" s="146">
        <f t="shared" si="10"/>
        <v>0</v>
      </c>
      <c r="I33" s="147">
        <f t="shared" si="10"/>
        <v>0</v>
      </c>
      <c r="K33" s="93">
        <f>B33/$B$30</f>
        <v>0</v>
      </c>
    </row>
    <row r="34" spans="1:11" x14ac:dyDescent="0.25">
      <c r="A34" s="94" t="s">
        <v>137</v>
      </c>
      <c r="B34" s="161">
        <v>0</v>
      </c>
      <c r="C34" s="162">
        <f t="shared" si="6"/>
        <v>0</v>
      </c>
      <c r="D34" s="163">
        <f t="shared" si="7"/>
        <v>0</v>
      </c>
      <c r="E34" s="164">
        <f t="shared" si="7"/>
        <v>0</v>
      </c>
      <c r="F34" s="140">
        <v>0</v>
      </c>
      <c r="G34" s="146">
        <f t="shared" si="8"/>
        <v>0</v>
      </c>
      <c r="H34" s="146">
        <f t="shared" si="10"/>
        <v>0</v>
      </c>
      <c r="I34" s="147">
        <f t="shared" si="10"/>
        <v>0</v>
      </c>
      <c r="K34" s="93">
        <f>B34/$B$30</f>
        <v>0</v>
      </c>
    </row>
    <row r="35" spans="1:11" ht="17.25" thickBot="1" x14ac:dyDescent="0.3">
      <c r="A35" s="119" t="s">
        <v>139</v>
      </c>
      <c r="B35" s="165">
        <v>0</v>
      </c>
      <c r="C35" s="166">
        <f t="shared" si="6"/>
        <v>0</v>
      </c>
      <c r="D35" s="167">
        <f t="shared" si="7"/>
        <v>0</v>
      </c>
      <c r="E35" s="168">
        <f t="shared" si="7"/>
        <v>0</v>
      </c>
      <c r="F35" s="140">
        <v>0</v>
      </c>
      <c r="G35" s="146">
        <f t="shared" si="8"/>
        <v>0</v>
      </c>
      <c r="H35" s="146">
        <f t="shared" si="10"/>
        <v>0</v>
      </c>
      <c r="I35" s="147">
        <f t="shared" si="10"/>
        <v>0</v>
      </c>
      <c r="K35" s="93">
        <f>B35/$B$30</f>
        <v>0</v>
      </c>
    </row>
    <row r="36" spans="1:11" ht="17.25" thickBot="1" x14ac:dyDescent="0.3">
      <c r="A36" s="169" t="s">
        <v>11</v>
      </c>
      <c r="B36" s="476" t="s">
        <v>12</v>
      </c>
      <c r="C36" s="476"/>
      <c r="D36" s="476"/>
      <c r="E36" s="477"/>
      <c r="F36" s="476" t="s">
        <v>144</v>
      </c>
      <c r="G36" s="476"/>
      <c r="H36" s="476"/>
      <c r="I36" s="477"/>
    </row>
    <row r="37" spans="1:11" ht="17.25" thickBot="1" x14ac:dyDescent="0.3">
      <c r="A37" s="79" t="s">
        <v>122</v>
      </c>
      <c r="B37" s="129">
        <f>SUM(B38:B42)</f>
        <v>174392.24871800002</v>
      </c>
      <c r="C37" s="130">
        <f t="shared" ref="C37:C48" si="11">B37/$N$1</f>
        <v>7266.3436965833343</v>
      </c>
      <c r="D37" s="131">
        <f t="shared" si="7"/>
        <v>16374.859034553992</v>
      </c>
      <c r="E37" s="170">
        <f t="shared" si="7"/>
        <v>682.28579310641635</v>
      </c>
      <c r="F37" s="133">
        <f>SUM(F38:F42)</f>
        <v>117600</v>
      </c>
      <c r="G37" s="134">
        <f t="shared" ref="G37:G48" si="12">F37/$N$1</f>
        <v>4900</v>
      </c>
      <c r="H37" s="134">
        <f>F37/10.65</f>
        <v>11042.25352112676</v>
      </c>
      <c r="I37" s="135">
        <f>G37/10.65</f>
        <v>460.09389671361498</v>
      </c>
    </row>
    <row r="38" spans="1:11" x14ac:dyDescent="0.25">
      <c r="A38" s="86" t="s">
        <v>123</v>
      </c>
      <c r="B38" s="136">
        <v>48563.023110999995</v>
      </c>
      <c r="C38" s="137">
        <f t="shared" si="11"/>
        <v>2023.4592962916665</v>
      </c>
      <c r="D38" s="138">
        <f t="shared" si="7"/>
        <v>4559.9082733333325</v>
      </c>
      <c r="E38" s="171">
        <f t="shared" si="7"/>
        <v>189.99617805555553</v>
      </c>
      <c r="F38" s="140">
        <v>28125.477882577132</v>
      </c>
      <c r="G38" s="141">
        <f t="shared" si="12"/>
        <v>1171.8949117740472</v>
      </c>
      <c r="H38" s="141">
        <f t="shared" ref="H38:I42" si="13">F38/10.65</f>
        <v>2640.8899420260218</v>
      </c>
      <c r="I38" s="142">
        <f t="shared" si="13"/>
        <v>110.0370809177509</v>
      </c>
      <c r="K38" s="93">
        <f>B38/$B$37</f>
        <v>0.27847007804531815</v>
      </c>
    </row>
    <row r="39" spans="1:11" x14ac:dyDescent="0.25">
      <c r="A39" s="94" t="s">
        <v>124</v>
      </c>
      <c r="B39" s="143">
        <v>44285.887000000002</v>
      </c>
      <c r="C39" s="144">
        <f t="shared" si="11"/>
        <v>1845.2452916666668</v>
      </c>
      <c r="D39" s="145">
        <f t="shared" si="7"/>
        <v>4158.2992488262908</v>
      </c>
      <c r="E39" s="172">
        <f t="shared" si="7"/>
        <v>173.26246870109549</v>
      </c>
      <c r="F39" s="140">
        <f>25648.3566206709+16600</f>
        <v>42248.3566206709</v>
      </c>
      <c r="G39" s="146">
        <f t="shared" si="12"/>
        <v>1760.3481925279541</v>
      </c>
      <c r="H39" s="146">
        <f t="shared" si="13"/>
        <v>3966.9818423165161</v>
      </c>
      <c r="I39" s="147">
        <f t="shared" si="13"/>
        <v>165.29091009652151</v>
      </c>
      <c r="J39" s="4" t="s">
        <v>143</v>
      </c>
      <c r="K39" s="93">
        <f>B39/$B$37</f>
        <v>0.25394412495713753</v>
      </c>
    </row>
    <row r="40" spans="1:11" x14ac:dyDescent="0.25">
      <c r="A40" s="94" t="s">
        <v>126</v>
      </c>
      <c r="B40" s="143">
        <v>10208.769933</v>
      </c>
      <c r="C40" s="144">
        <f t="shared" si="11"/>
        <v>425.365413875</v>
      </c>
      <c r="D40" s="145">
        <f t="shared" si="7"/>
        <v>958.56994676056331</v>
      </c>
      <c r="E40" s="172">
        <f t="shared" si="7"/>
        <v>39.940414448356805</v>
      </c>
      <c r="F40" s="140">
        <v>5912.4517907920963</v>
      </c>
      <c r="G40" s="146">
        <f t="shared" si="12"/>
        <v>246.35215794967067</v>
      </c>
      <c r="H40" s="146">
        <f t="shared" si="13"/>
        <v>555.15979256263813</v>
      </c>
      <c r="I40" s="147">
        <f t="shared" si="13"/>
        <v>23.131658023443254</v>
      </c>
      <c r="K40" s="93">
        <f>B40/$B$37</f>
        <v>5.8539126641505908E-2</v>
      </c>
    </row>
    <row r="41" spans="1:11" x14ac:dyDescent="0.25">
      <c r="A41" s="94" t="s">
        <v>128</v>
      </c>
      <c r="B41" s="143">
        <v>0</v>
      </c>
      <c r="C41" s="144">
        <f t="shared" si="11"/>
        <v>0</v>
      </c>
      <c r="D41" s="145">
        <f t="shared" si="7"/>
        <v>0</v>
      </c>
      <c r="E41" s="172">
        <f t="shared" si="7"/>
        <v>0</v>
      </c>
      <c r="F41" s="140">
        <v>0</v>
      </c>
      <c r="G41" s="146">
        <f t="shared" si="12"/>
        <v>0</v>
      </c>
      <c r="H41" s="146">
        <f t="shared" si="13"/>
        <v>0</v>
      </c>
      <c r="I41" s="147">
        <f t="shared" si="13"/>
        <v>0</v>
      </c>
      <c r="K41" s="93">
        <f>B41/$B$37</f>
        <v>0</v>
      </c>
    </row>
    <row r="42" spans="1:11" ht="17.25" thickBot="1" x14ac:dyDescent="0.3">
      <c r="A42" s="100" t="s">
        <v>129</v>
      </c>
      <c r="B42" s="148">
        <v>71334.568673999995</v>
      </c>
      <c r="C42" s="149">
        <f t="shared" si="11"/>
        <v>2972.2736947499998</v>
      </c>
      <c r="D42" s="150">
        <f t="shared" si="7"/>
        <v>6698.0815656338018</v>
      </c>
      <c r="E42" s="173">
        <f t="shared" si="7"/>
        <v>279.08673190140843</v>
      </c>
      <c r="F42" s="140">
        <v>41313.713705959868</v>
      </c>
      <c r="G42" s="152">
        <f t="shared" si="12"/>
        <v>1721.4047377483278</v>
      </c>
      <c r="H42" s="152">
        <f t="shared" si="13"/>
        <v>3879.2219442215837</v>
      </c>
      <c r="I42" s="153">
        <f t="shared" si="13"/>
        <v>161.6342476758993</v>
      </c>
      <c r="K42" s="93">
        <f>B42/$B$37</f>
        <v>0.40904667035603831</v>
      </c>
    </row>
    <row r="43" spans="1:11" ht="17.25" thickBot="1" x14ac:dyDescent="0.3">
      <c r="A43" s="108" t="s">
        <v>132</v>
      </c>
      <c r="B43" s="154">
        <f>SUM(B44:B48)</f>
        <v>148888.96178899999</v>
      </c>
      <c r="C43" s="130">
        <f t="shared" si="11"/>
        <v>6203.7067412083334</v>
      </c>
      <c r="D43" s="131">
        <f t="shared" si="7"/>
        <v>13980.184205539905</v>
      </c>
      <c r="E43" s="132">
        <f t="shared" si="7"/>
        <v>582.50767523082936</v>
      </c>
      <c r="F43" s="155">
        <f>SUM(F44:F48)</f>
        <v>40463.593965075896</v>
      </c>
      <c r="G43" s="156">
        <f t="shared" si="12"/>
        <v>1685.9830818781622</v>
      </c>
      <c r="H43" s="156">
        <f>F43/10.65</f>
        <v>3799.3984943733235</v>
      </c>
      <c r="I43" s="157">
        <f>G43/10.65</f>
        <v>158.30827059888847</v>
      </c>
    </row>
    <row r="44" spans="1:11" x14ac:dyDescent="0.25">
      <c r="A44" s="86" t="s">
        <v>133</v>
      </c>
      <c r="B44" s="174">
        <v>29315.393812000002</v>
      </c>
      <c r="C44" s="137">
        <f t="shared" si="11"/>
        <v>1221.4747421666668</v>
      </c>
      <c r="D44" s="138">
        <f t="shared" si="7"/>
        <v>2752.6191372769954</v>
      </c>
      <c r="E44" s="139">
        <f t="shared" si="7"/>
        <v>114.69246405320816</v>
      </c>
      <c r="F44" s="140">
        <f>23863.5939650759+16600</f>
        <v>40463.593965075896</v>
      </c>
      <c r="G44" s="141">
        <f t="shared" si="12"/>
        <v>1685.9830818781622</v>
      </c>
      <c r="H44" s="141">
        <f t="shared" ref="H44:I48" si="14">F44/10.65</f>
        <v>3799.3984943733235</v>
      </c>
      <c r="I44" s="142">
        <f t="shared" si="14"/>
        <v>158.30827059888847</v>
      </c>
      <c r="J44" s="4" t="s">
        <v>143</v>
      </c>
      <c r="K44" s="93">
        <f>B44/$B$43</f>
        <v>0.19689433964584097</v>
      </c>
    </row>
    <row r="45" spans="1:11" x14ac:dyDescent="0.25">
      <c r="A45" s="94" t="s">
        <v>134</v>
      </c>
      <c r="B45" s="175">
        <v>119573.56797699998</v>
      </c>
      <c r="C45" s="144">
        <f t="shared" si="11"/>
        <v>4982.2319990416663</v>
      </c>
      <c r="D45" s="145">
        <f t="shared" si="7"/>
        <v>11227.565068262909</v>
      </c>
      <c r="E45" s="20">
        <f t="shared" si="7"/>
        <v>467.81521117762122</v>
      </c>
      <c r="F45" s="140"/>
      <c r="G45" s="146">
        <f t="shared" si="12"/>
        <v>0</v>
      </c>
      <c r="H45" s="146">
        <f t="shared" si="14"/>
        <v>0</v>
      </c>
      <c r="I45" s="147">
        <f t="shared" si="14"/>
        <v>0</v>
      </c>
      <c r="K45" s="93">
        <f>B45/$B$43</f>
        <v>0.80310566035415898</v>
      </c>
    </row>
    <row r="46" spans="1:11" x14ac:dyDescent="0.25">
      <c r="A46" s="94" t="s">
        <v>136</v>
      </c>
      <c r="B46" s="175">
        <v>0</v>
      </c>
      <c r="C46" s="144">
        <f t="shared" si="11"/>
        <v>0</v>
      </c>
      <c r="D46" s="145">
        <f t="shared" si="7"/>
        <v>0</v>
      </c>
      <c r="E46" s="20">
        <f t="shared" si="7"/>
        <v>0</v>
      </c>
      <c r="F46" s="140">
        <v>0</v>
      </c>
      <c r="G46" s="146">
        <f t="shared" si="12"/>
        <v>0</v>
      </c>
      <c r="H46" s="146">
        <f t="shared" si="14"/>
        <v>0</v>
      </c>
      <c r="I46" s="147">
        <f t="shared" si="14"/>
        <v>0</v>
      </c>
      <c r="K46" s="93">
        <f>B46/$B$43</f>
        <v>0</v>
      </c>
    </row>
    <row r="47" spans="1:11" x14ac:dyDescent="0.25">
      <c r="A47" s="94" t="s">
        <v>137</v>
      </c>
      <c r="B47" s="175">
        <v>0</v>
      </c>
      <c r="C47" s="144">
        <f t="shared" si="11"/>
        <v>0</v>
      </c>
      <c r="D47" s="145">
        <f t="shared" si="7"/>
        <v>0</v>
      </c>
      <c r="E47" s="20">
        <f t="shared" si="7"/>
        <v>0</v>
      </c>
      <c r="F47" s="140">
        <v>0</v>
      </c>
      <c r="G47" s="146">
        <f t="shared" si="12"/>
        <v>0</v>
      </c>
      <c r="H47" s="146">
        <f t="shared" si="14"/>
        <v>0</v>
      </c>
      <c r="I47" s="147">
        <f t="shared" si="14"/>
        <v>0</v>
      </c>
      <c r="K47" s="93">
        <f>B47/$B$43</f>
        <v>0</v>
      </c>
    </row>
    <row r="48" spans="1:11" ht="17.25" thickBot="1" x14ac:dyDescent="0.3">
      <c r="A48" s="100" t="s">
        <v>139</v>
      </c>
      <c r="B48" s="176">
        <v>0</v>
      </c>
      <c r="C48" s="149">
        <f t="shared" si="11"/>
        <v>0</v>
      </c>
      <c r="D48" s="150">
        <f t="shared" si="7"/>
        <v>0</v>
      </c>
      <c r="E48" s="151">
        <f t="shared" si="7"/>
        <v>0</v>
      </c>
      <c r="F48" s="140">
        <v>0</v>
      </c>
      <c r="G48" s="152">
        <f t="shared" si="12"/>
        <v>0</v>
      </c>
      <c r="H48" s="152">
        <f t="shared" si="14"/>
        <v>0</v>
      </c>
      <c r="I48" s="153">
        <f t="shared" si="14"/>
        <v>0</v>
      </c>
      <c r="K48" s="93">
        <f>B48/$B$43</f>
        <v>0</v>
      </c>
    </row>
    <row r="49" spans="1:11" ht="17.25" thickBot="1" x14ac:dyDescent="0.3">
      <c r="A49" s="177" t="s">
        <v>13</v>
      </c>
      <c r="B49" s="475" t="s">
        <v>14</v>
      </c>
      <c r="C49" s="476"/>
      <c r="D49" s="476"/>
      <c r="E49" s="477"/>
      <c r="F49" s="478" t="s">
        <v>145</v>
      </c>
      <c r="G49" s="476"/>
      <c r="H49" s="476"/>
      <c r="I49" s="477"/>
    </row>
    <row r="50" spans="1:11" ht="17.25" thickBot="1" x14ac:dyDescent="0.3">
      <c r="A50" s="79" t="s">
        <v>122</v>
      </c>
      <c r="B50" s="129">
        <f>SUM(B51:B54)</f>
        <v>0</v>
      </c>
      <c r="C50" s="130">
        <f>SUM(C51:C54)</f>
        <v>0</v>
      </c>
      <c r="D50" s="130">
        <f>SUM(D51:D54)</f>
        <v>0</v>
      </c>
      <c r="E50" s="178">
        <f>SUM(E51:E54)</f>
        <v>0</v>
      </c>
      <c r="F50" s="133">
        <v>1818</v>
      </c>
      <c r="G50" s="134">
        <f t="shared" ref="G50:G61" si="15">F50/$N$1</f>
        <v>75.75</v>
      </c>
      <c r="H50" s="134">
        <f>F50/10.65</f>
        <v>170.70422535211267</v>
      </c>
      <c r="I50" s="135">
        <f>G50/10.65</f>
        <v>7.112676056338028</v>
      </c>
    </row>
    <row r="51" spans="1:11" x14ac:dyDescent="0.25">
      <c r="A51" s="94" t="s">
        <v>124</v>
      </c>
      <c r="B51" s="143">
        <v>0</v>
      </c>
      <c r="C51" s="144">
        <f>B51/$N$1</f>
        <v>0</v>
      </c>
      <c r="D51" s="145">
        <f t="shared" si="7"/>
        <v>0</v>
      </c>
      <c r="E51" s="20">
        <f t="shared" si="7"/>
        <v>0</v>
      </c>
      <c r="F51" s="179">
        <v>0</v>
      </c>
      <c r="G51" s="146">
        <f t="shared" si="15"/>
        <v>0</v>
      </c>
      <c r="H51" s="146">
        <f>F51/10.65</f>
        <v>0</v>
      </c>
      <c r="I51" s="147">
        <f>G51/10.65</f>
        <v>0</v>
      </c>
      <c r="K51" s="4" t="e">
        <f>B51/B50</f>
        <v>#DIV/0!</v>
      </c>
    </row>
    <row r="52" spans="1:11" x14ac:dyDescent="0.25">
      <c r="A52" s="94" t="s">
        <v>126</v>
      </c>
      <c r="B52" s="143">
        <v>0</v>
      </c>
      <c r="C52" s="144">
        <f>B52/$N$1</f>
        <v>0</v>
      </c>
      <c r="D52" s="145">
        <f t="shared" si="7"/>
        <v>0</v>
      </c>
      <c r="E52" s="20">
        <f t="shared" si="7"/>
        <v>0</v>
      </c>
      <c r="F52" s="179">
        <v>0</v>
      </c>
      <c r="G52" s="146">
        <f t="shared" si="15"/>
        <v>0</v>
      </c>
      <c r="H52" s="146">
        <f t="shared" ref="H52:I54" si="16">F52/10.65</f>
        <v>0</v>
      </c>
      <c r="I52" s="147">
        <f t="shared" si="16"/>
        <v>0</v>
      </c>
    </row>
    <row r="53" spans="1:11" x14ac:dyDescent="0.25">
      <c r="A53" s="94" t="s">
        <v>128</v>
      </c>
      <c r="B53" s="143">
        <v>0</v>
      </c>
      <c r="C53" s="144">
        <f>B53/$N$1</f>
        <v>0</v>
      </c>
      <c r="D53" s="145">
        <f t="shared" si="7"/>
        <v>0</v>
      </c>
      <c r="E53" s="20">
        <f t="shared" si="7"/>
        <v>0</v>
      </c>
      <c r="F53" s="179">
        <v>0</v>
      </c>
      <c r="G53" s="146">
        <f t="shared" si="15"/>
        <v>0</v>
      </c>
      <c r="H53" s="146">
        <f t="shared" si="16"/>
        <v>0</v>
      </c>
      <c r="I53" s="147">
        <f t="shared" si="16"/>
        <v>0</v>
      </c>
    </row>
    <row r="54" spans="1:11" ht="17.25" thickBot="1" x14ac:dyDescent="0.3">
      <c r="A54" s="100" t="s">
        <v>129</v>
      </c>
      <c r="B54" s="148">
        <v>0</v>
      </c>
      <c r="C54" s="149">
        <f>B54/$N$1</f>
        <v>0</v>
      </c>
      <c r="D54" s="150">
        <f t="shared" si="7"/>
        <v>0</v>
      </c>
      <c r="E54" s="151">
        <f t="shared" si="7"/>
        <v>0</v>
      </c>
      <c r="F54" s="180">
        <v>1818</v>
      </c>
      <c r="G54" s="152">
        <f t="shared" si="15"/>
        <v>75.75</v>
      </c>
      <c r="H54" s="152">
        <f t="shared" si="16"/>
        <v>170.70422535211267</v>
      </c>
      <c r="I54" s="153">
        <f t="shared" si="16"/>
        <v>7.112676056338028</v>
      </c>
    </row>
    <row r="55" spans="1:11" ht="17.25" thickBot="1" x14ac:dyDescent="0.3">
      <c r="A55" s="108" t="s">
        <v>132</v>
      </c>
      <c r="B55" s="154">
        <f>SUM(B56:B61)</f>
        <v>5064.4256399999995</v>
      </c>
      <c r="C55" s="181">
        <f>SUM(C56:C61)</f>
        <v>211.01773500000002</v>
      </c>
      <c r="D55" s="181">
        <f>SUM(D56:D61)</f>
        <v>475.53292394366196</v>
      </c>
      <c r="E55" s="182">
        <f>SUM(E56:E61)</f>
        <v>19.813871830985917</v>
      </c>
      <c r="F55" s="155">
        <f>SUM(F56:F61)</f>
        <v>1458.7018241371013</v>
      </c>
      <c r="G55" s="156">
        <f t="shared" si="15"/>
        <v>60.779242672379219</v>
      </c>
      <c r="H55" s="156">
        <f>F55/10.65</f>
        <v>136.96730743071373</v>
      </c>
      <c r="I55" s="157">
        <f>G55/10.65</f>
        <v>5.7069711429464052</v>
      </c>
      <c r="K55" s="183">
        <f>B56+B57</f>
        <v>2532.3483619999997</v>
      </c>
    </row>
    <row r="56" spans="1:11" x14ac:dyDescent="0.25">
      <c r="A56" s="86" t="s">
        <v>133</v>
      </c>
      <c r="B56" s="174">
        <v>2438.2449999999999</v>
      </c>
      <c r="C56" s="137">
        <f t="shared" ref="C56:C61" si="17">B56/$N$1</f>
        <v>101.59354166666667</v>
      </c>
      <c r="D56" s="138">
        <f t="shared" si="7"/>
        <v>228.94319248826289</v>
      </c>
      <c r="E56" s="139">
        <f t="shared" si="7"/>
        <v>9.5392996870109545</v>
      </c>
      <c r="F56" s="140">
        <v>1458.7018241371013</v>
      </c>
      <c r="G56" s="141">
        <f t="shared" si="15"/>
        <v>60.779242672379219</v>
      </c>
      <c r="H56" s="141">
        <f t="shared" ref="H56:I61" si="18">F56/10.65</f>
        <v>136.96730743071373</v>
      </c>
      <c r="I56" s="142">
        <f t="shared" si="18"/>
        <v>5.7069711429464052</v>
      </c>
      <c r="K56" s="93">
        <f>B56/$K$55</f>
        <v>0.96283948787927476</v>
      </c>
    </row>
    <row r="57" spans="1:11" x14ac:dyDescent="0.25">
      <c r="A57" s="94" t="s">
        <v>134</v>
      </c>
      <c r="B57" s="175">
        <v>94.103362000000004</v>
      </c>
      <c r="C57" s="144">
        <f t="shared" si="17"/>
        <v>3.920973416666667</v>
      </c>
      <c r="D57" s="145">
        <f t="shared" si="7"/>
        <v>8.8359964319248832</v>
      </c>
      <c r="E57" s="20">
        <f t="shared" si="7"/>
        <v>0.36816651799687011</v>
      </c>
      <c r="F57" s="140"/>
      <c r="G57" s="146">
        <f t="shared" si="15"/>
        <v>0</v>
      </c>
      <c r="H57" s="146">
        <f t="shared" si="18"/>
        <v>0</v>
      </c>
      <c r="I57" s="147">
        <f t="shared" si="18"/>
        <v>0</v>
      </c>
      <c r="K57" s="93">
        <f>B57/$K$55</f>
        <v>3.716051212072536E-2</v>
      </c>
    </row>
    <row r="58" spans="1:11" x14ac:dyDescent="0.25">
      <c r="A58" s="94" t="s">
        <v>135</v>
      </c>
      <c r="B58" s="175">
        <v>0</v>
      </c>
      <c r="C58" s="144">
        <f t="shared" si="17"/>
        <v>0</v>
      </c>
      <c r="D58" s="145">
        <f t="shared" si="7"/>
        <v>0</v>
      </c>
      <c r="E58" s="20">
        <f t="shared" si="7"/>
        <v>0</v>
      </c>
      <c r="F58" s="140">
        <v>0</v>
      </c>
      <c r="G58" s="146">
        <f t="shared" si="15"/>
        <v>0</v>
      </c>
      <c r="H58" s="146">
        <f t="shared" si="18"/>
        <v>0</v>
      </c>
      <c r="I58" s="147">
        <f t="shared" si="18"/>
        <v>0</v>
      </c>
      <c r="K58" s="93">
        <f>B58/$B$55</f>
        <v>0</v>
      </c>
    </row>
    <row r="59" spans="1:11" x14ac:dyDescent="0.25">
      <c r="A59" s="94" t="s">
        <v>136</v>
      </c>
      <c r="B59" s="175">
        <v>0</v>
      </c>
      <c r="C59" s="144">
        <f t="shared" si="17"/>
        <v>0</v>
      </c>
      <c r="D59" s="145">
        <f t="shared" si="7"/>
        <v>0</v>
      </c>
      <c r="E59" s="20">
        <f t="shared" si="7"/>
        <v>0</v>
      </c>
      <c r="F59" s="140">
        <v>0</v>
      </c>
      <c r="G59" s="146">
        <f t="shared" si="15"/>
        <v>0</v>
      </c>
      <c r="H59" s="146">
        <f t="shared" si="18"/>
        <v>0</v>
      </c>
      <c r="I59" s="147">
        <f t="shared" si="18"/>
        <v>0</v>
      </c>
      <c r="K59" s="93">
        <f>B59/$B$55</f>
        <v>0</v>
      </c>
    </row>
    <row r="60" spans="1:11" x14ac:dyDescent="0.25">
      <c r="A60" s="94" t="s">
        <v>137</v>
      </c>
      <c r="B60" s="175">
        <v>2532.0772780000002</v>
      </c>
      <c r="C60" s="144">
        <f t="shared" si="17"/>
        <v>105.50321991666668</v>
      </c>
      <c r="D60" s="145">
        <f t="shared" si="7"/>
        <v>237.75373502347418</v>
      </c>
      <c r="E60" s="20">
        <f t="shared" si="7"/>
        <v>9.9064056259780919</v>
      </c>
      <c r="F60" s="140">
        <v>0</v>
      </c>
      <c r="G60" s="146">
        <f t="shared" si="15"/>
        <v>0</v>
      </c>
      <c r="H60" s="146">
        <f t="shared" si="18"/>
        <v>0</v>
      </c>
      <c r="I60" s="147">
        <f t="shared" si="18"/>
        <v>0</v>
      </c>
      <c r="K60" s="93">
        <v>0</v>
      </c>
    </row>
    <row r="61" spans="1:11" ht="17.25" thickBot="1" x14ac:dyDescent="0.3">
      <c r="A61" s="100" t="s">
        <v>139</v>
      </c>
      <c r="B61" s="176">
        <v>0</v>
      </c>
      <c r="C61" s="149">
        <f t="shared" si="17"/>
        <v>0</v>
      </c>
      <c r="D61" s="150">
        <f t="shared" si="7"/>
        <v>0</v>
      </c>
      <c r="E61" s="151">
        <f t="shared" si="7"/>
        <v>0</v>
      </c>
      <c r="F61" s="140">
        <v>0</v>
      </c>
      <c r="G61" s="152">
        <f t="shared" si="15"/>
        <v>0</v>
      </c>
      <c r="H61" s="152">
        <f t="shared" si="18"/>
        <v>0</v>
      </c>
      <c r="I61" s="153">
        <f t="shared" si="18"/>
        <v>0</v>
      </c>
      <c r="K61" s="93">
        <f>B61/$B$55</f>
        <v>0</v>
      </c>
    </row>
    <row r="62" spans="1:11" ht="17.25" thickBot="1" x14ac:dyDescent="0.3">
      <c r="A62" s="177" t="s">
        <v>15</v>
      </c>
      <c r="B62" s="475" t="s">
        <v>16</v>
      </c>
      <c r="C62" s="476"/>
      <c r="D62" s="476"/>
      <c r="E62" s="477"/>
      <c r="F62" s="478" t="s">
        <v>146</v>
      </c>
      <c r="G62" s="476"/>
      <c r="H62" s="476"/>
      <c r="I62" s="477"/>
    </row>
    <row r="63" spans="1:11" ht="17.25" thickBot="1" x14ac:dyDescent="0.3">
      <c r="A63" s="79" t="s">
        <v>122</v>
      </c>
      <c r="B63" s="129">
        <f>SUM(B64:B67)</f>
        <v>0</v>
      </c>
      <c r="C63" s="130">
        <f>SUM(C64:C67)</f>
        <v>0</v>
      </c>
      <c r="D63" s="130">
        <f>SUM(D64:D67)</f>
        <v>0</v>
      </c>
      <c r="E63" s="178">
        <f>SUM(E64:E67)</f>
        <v>0</v>
      </c>
      <c r="F63" s="133">
        <v>1010</v>
      </c>
      <c r="G63" s="134">
        <f t="shared" ref="G63:G74" si="19">F63/$N$1</f>
        <v>42.083333333333336</v>
      </c>
      <c r="H63" s="134">
        <f>F63/10.65</f>
        <v>94.835680751173712</v>
      </c>
      <c r="I63" s="135">
        <f>G63/10.65</f>
        <v>3.9514866979655712</v>
      </c>
    </row>
    <row r="64" spans="1:11" x14ac:dyDescent="0.25">
      <c r="A64" s="94" t="s">
        <v>124</v>
      </c>
      <c r="B64" s="143">
        <v>0</v>
      </c>
      <c r="C64" s="144">
        <f>B64/$N$1</f>
        <v>0</v>
      </c>
      <c r="D64" s="145">
        <f t="shared" ref="D64:E67" si="20">B64/10.65</f>
        <v>0</v>
      </c>
      <c r="E64" s="20">
        <f t="shared" si="20"/>
        <v>0</v>
      </c>
      <c r="F64" s="179">
        <v>0</v>
      </c>
      <c r="G64" s="146">
        <f t="shared" si="19"/>
        <v>0</v>
      </c>
      <c r="H64" s="146">
        <f t="shared" ref="H64:I67" si="21">F64/10.65</f>
        <v>0</v>
      </c>
      <c r="I64" s="147">
        <f t="shared" si="21"/>
        <v>0</v>
      </c>
      <c r="K64" s="4" t="e">
        <f>B64/B63</f>
        <v>#DIV/0!</v>
      </c>
    </row>
    <row r="65" spans="1:11" x14ac:dyDescent="0.25">
      <c r="A65" s="94" t="s">
        <v>126</v>
      </c>
      <c r="B65" s="143">
        <v>0</v>
      </c>
      <c r="C65" s="144">
        <f>B65/$N$1</f>
        <v>0</v>
      </c>
      <c r="D65" s="145">
        <f t="shared" si="20"/>
        <v>0</v>
      </c>
      <c r="E65" s="20">
        <f t="shared" si="20"/>
        <v>0</v>
      </c>
      <c r="F65" s="179">
        <v>0</v>
      </c>
      <c r="G65" s="146">
        <f t="shared" si="19"/>
        <v>0</v>
      </c>
      <c r="H65" s="146">
        <f t="shared" si="21"/>
        <v>0</v>
      </c>
      <c r="I65" s="147">
        <f t="shared" si="21"/>
        <v>0</v>
      </c>
    </row>
    <row r="66" spans="1:11" x14ac:dyDescent="0.25">
      <c r="A66" s="94" t="s">
        <v>128</v>
      </c>
      <c r="B66" s="143">
        <v>0</v>
      </c>
      <c r="C66" s="144">
        <f>B66/$N$1</f>
        <v>0</v>
      </c>
      <c r="D66" s="145">
        <f t="shared" si="20"/>
        <v>0</v>
      </c>
      <c r="E66" s="20">
        <f t="shared" si="20"/>
        <v>0</v>
      </c>
      <c r="F66" s="179">
        <v>0</v>
      </c>
      <c r="G66" s="146">
        <f t="shared" si="19"/>
        <v>0</v>
      </c>
      <c r="H66" s="146">
        <f t="shared" si="21"/>
        <v>0</v>
      </c>
      <c r="I66" s="147">
        <f t="shared" si="21"/>
        <v>0</v>
      </c>
    </row>
    <row r="67" spans="1:11" ht="17.25" thickBot="1" x14ac:dyDescent="0.3">
      <c r="A67" s="100" t="s">
        <v>129</v>
      </c>
      <c r="B67" s="184">
        <v>0</v>
      </c>
      <c r="C67" s="185">
        <f>B67/$N$1</f>
        <v>0</v>
      </c>
      <c r="D67" s="186">
        <f t="shared" si="20"/>
        <v>0</v>
      </c>
      <c r="E67" s="21">
        <f t="shared" si="20"/>
        <v>0</v>
      </c>
      <c r="F67" s="180">
        <v>1010</v>
      </c>
      <c r="G67" s="152">
        <f t="shared" si="19"/>
        <v>42.083333333333336</v>
      </c>
      <c r="H67" s="152">
        <f t="shared" si="21"/>
        <v>94.835680751173712</v>
      </c>
      <c r="I67" s="153">
        <f t="shared" si="21"/>
        <v>3.9514866979655712</v>
      </c>
    </row>
    <row r="68" spans="1:11" ht="17.25" thickBot="1" x14ac:dyDescent="0.3">
      <c r="A68" s="108" t="s">
        <v>132</v>
      </c>
      <c r="B68" s="154">
        <f>SUM(B69:B74)</f>
        <v>5137.2880860000005</v>
      </c>
      <c r="C68" s="181">
        <f>SUM(C69:C74)</f>
        <v>214.05367025000004</v>
      </c>
      <c r="D68" s="181">
        <f>SUM(D69:D74)</f>
        <v>482.37446816901411</v>
      </c>
      <c r="E68" s="182">
        <f>SUM(E69:E74)</f>
        <v>20.098936173708921</v>
      </c>
      <c r="F68" s="155">
        <f>SUM(F69:F74)</f>
        <v>1346.9813073184516</v>
      </c>
      <c r="G68" s="156">
        <f t="shared" si="19"/>
        <v>56.124221138268815</v>
      </c>
      <c r="H68" s="156">
        <f>F68/10.65</f>
        <v>126.47711805807057</v>
      </c>
      <c r="I68" s="157">
        <f>G68/10.65</f>
        <v>5.2698799190862733</v>
      </c>
      <c r="K68" s="183">
        <f>B69+B70</f>
        <v>2605.2108080000003</v>
      </c>
    </row>
    <row r="69" spans="1:11" x14ac:dyDescent="0.25">
      <c r="A69" s="86" t="s">
        <v>133</v>
      </c>
      <c r="B69" s="174">
        <v>2316.2840000000001</v>
      </c>
      <c r="C69" s="137">
        <f t="shared" ref="C69:C74" si="22">B69/$N$1</f>
        <v>96.511833333333342</v>
      </c>
      <c r="D69" s="138">
        <f t="shared" ref="D69:E74" si="23">B69/10.65</f>
        <v>217.49145539906104</v>
      </c>
      <c r="E69" s="139">
        <f t="shared" si="23"/>
        <v>9.0621439749608772</v>
      </c>
      <c r="F69" s="187">
        <v>1346.9813073184516</v>
      </c>
      <c r="G69" s="188">
        <f t="shared" si="19"/>
        <v>56.124221138268815</v>
      </c>
      <c r="H69" s="188">
        <f t="shared" ref="H69:I74" si="24">F69/10.65</f>
        <v>126.47711805807057</v>
      </c>
      <c r="I69" s="189">
        <f t="shared" si="24"/>
        <v>5.2698799190862733</v>
      </c>
      <c r="K69" s="93">
        <f>B69/$K$68</f>
        <v>0.8890965724874268</v>
      </c>
    </row>
    <row r="70" spans="1:11" x14ac:dyDescent="0.25">
      <c r="A70" s="94" t="s">
        <v>134</v>
      </c>
      <c r="B70" s="175">
        <v>288.92680799999999</v>
      </c>
      <c r="C70" s="144">
        <f t="shared" si="22"/>
        <v>12.038617</v>
      </c>
      <c r="D70" s="145">
        <f t="shared" si="23"/>
        <v>27.129277746478873</v>
      </c>
      <c r="E70" s="20">
        <f t="shared" si="23"/>
        <v>1.1303865727699531</v>
      </c>
      <c r="F70" s="190"/>
      <c r="G70" s="146">
        <f t="shared" si="19"/>
        <v>0</v>
      </c>
      <c r="H70" s="146">
        <f t="shared" si="24"/>
        <v>0</v>
      </c>
      <c r="I70" s="147">
        <f t="shared" si="24"/>
        <v>0</v>
      </c>
      <c r="K70" s="93">
        <f>B70/$K$68</f>
        <v>0.11090342751257309</v>
      </c>
    </row>
    <row r="71" spans="1:11" x14ac:dyDescent="0.25">
      <c r="A71" s="94" t="s">
        <v>135</v>
      </c>
      <c r="B71" s="175">
        <v>0</v>
      </c>
      <c r="C71" s="144">
        <f t="shared" si="22"/>
        <v>0</v>
      </c>
      <c r="D71" s="145">
        <f t="shared" si="23"/>
        <v>0</v>
      </c>
      <c r="E71" s="20">
        <f t="shared" si="23"/>
        <v>0</v>
      </c>
      <c r="F71" s="190">
        <v>0</v>
      </c>
      <c r="G71" s="146">
        <f t="shared" si="19"/>
        <v>0</v>
      </c>
      <c r="H71" s="146">
        <f t="shared" si="24"/>
        <v>0</v>
      </c>
      <c r="I71" s="147">
        <f t="shared" si="24"/>
        <v>0</v>
      </c>
      <c r="K71" s="93">
        <f>B71/$B$68</f>
        <v>0</v>
      </c>
    </row>
    <row r="72" spans="1:11" x14ac:dyDescent="0.25">
      <c r="A72" s="94" t="s">
        <v>136</v>
      </c>
      <c r="B72" s="175">
        <v>0</v>
      </c>
      <c r="C72" s="144">
        <f t="shared" si="22"/>
        <v>0</v>
      </c>
      <c r="D72" s="145">
        <f t="shared" si="23"/>
        <v>0</v>
      </c>
      <c r="E72" s="20">
        <f t="shared" si="23"/>
        <v>0</v>
      </c>
      <c r="F72" s="190">
        <v>0</v>
      </c>
      <c r="G72" s="146">
        <f t="shared" si="19"/>
        <v>0</v>
      </c>
      <c r="H72" s="146">
        <f t="shared" si="24"/>
        <v>0</v>
      </c>
      <c r="I72" s="147">
        <f t="shared" si="24"/>
        <v>0</v>
      </c>
      <c r="K72" s="93">
        <f>B72/$B$68</f>
        <v>0</v>
      </c>
    </row>
    <row r="73" spans="1:11" x14ac:dyDescent="0.25">
      <c r="A73" s="94" t="s">
        <v>137</v>
      </c>
      <c r="B73" s="175">
        <v>2532.0772780000002</v>
      </c>
      <c r="C73" s="144">
        <f t="shared" si="22"/>
        <v>105.50321991666668</v>
      </c>
      <c r="D73" s="145">
        <f t="shared" si="23"/>
        <v>237.75373502347418</v>
      </c>
      <c r="E73" s="20">
        <f t="shared" si="23"/>
        <v>9.9064056259780919</v>
      </c>
      <c r="F73" s="190">
        <v>0</v>
      </c>
      <c r="G73" s="146">
        <f t="shared" si="19"/>
        <v>0</v>
      </c>
      <c r="H73" s="146">
        <f t="shared" si="24"/>
        <v>0</v>
      </c>
      <c r="I73" s="147">
        <f t="shared" si="24"/>
        <v>0</v>
      </c>
      <c r="K73" s="93">
        <v>0</v>
      </c>
    </row>
    <row r="74" spans="1:11" ht="17.25" thickBot="1" x14ac:dyDescent="0.3">
      <c r="A74" s="119" t="s">
        <v>139</v>
      </c>
      <c r="B74" s="191">
        <v>0</v>
      </c>
      <c r="C74" s="185">
        <f t="shared" si="22"/>
        <v>0</v>
      </c>
      <c r="D74" s="186">
        <f t="shared" si="23"/>
        <v>0</v>
      </c>
      <c r="E74" s="21">
        <f t="shared" si="23"/>
        <v>0</v>
      </c>
      <c r="F74" s="192">
        <v>0</v>
      </c>
      <c r="G74" s="193">
        <f t="shared" si="19"/>
        <v>0</v>
      </c>
      <c r="H74" s="193">
        <f t="shared" si="24"/>
        <v>0</v>
      </c>
      <c r="I74" s="194">
        <f t="shared" si="24"/>
        <v>0</v>
      </c>
      <c r="K74" s="93">
        <f>B74/$B$68</f>
        <v>0</v>
      </c>
    </row>
    <row r="75" spans="1:11" x14ac:dyDescent="0.25">
      <c r="A75" s="195"/>
      <c r="B75" s="196"/>
      <c r="C75" s="197"/>
      <c r="D75" s="198"/>
      <c r="E75" s="199"/>
      <c r="F75" s="200"/>
      <c r="G75" s="200"/>
      <c r="H75" s="200"/>
      <c r="I75" s="200"/>
    </row>
    <row r="76" spans="1:11" ht="15" customHeight="1" thickBot="1" x14ac:dyDescent="0.3">
      <c r="A76" s="18"/>
      <c r="B76" s="18"/>
      <c r="C76" s="18"/>
      <c r="D76" s="201"/>
      <c r="E76" s="19"/>
      <c r="F76" s="19"/>
      <c r="G76" s="19"/>
      <c r="H76" s="19"/>
      <c r="I76" s="19"/>
    </row>
    <row r="77" spans="1:11" ht="21.75" customHeight="1" x14ac:dyDescent="0.25">
      <c r="A77" s="484" t="s">
        <v>17</v>
      </c>
      <c r="B77" s="494" t="s">
        <v>140</v>
      </c>
      <c r="C77" s="495"/>
      <c r="D77" s="495"/>
      <c r="E77" s="496"/>
      <c r="F77" s="497" t="s">
        <v>141</v>
      </c>
      <c r="G77" s="495"/>
      <c r="H77" s="495"/>
      <c r="I77" s="496"/>
    </row>
    <row r="78" spans="1:11" x14ac:dyDescent="0.25">
      <c r="A78" s="485"/>
      <c r="B78" s="68" t="s">
        <v>2</v>
      </c>
      <c r="C78" s="69" t="s">
        <v>3</v>
      </c>
      <c r="D78" s="69" t="s">
        <v>4</v>
      </c>
      <c r="E78" s="70" t="s">
        <v>5</v>
      </c>
      <c r="F78" s="127" t="s">
        <v>2</v>
      </c>
      <c r="G78" s="69" t="s">
        <v>3</v>
      </c>
      <c r="H78" s="69" t="s">
        <v>4</v>
      </c>
      <c r="I78" s="70" t="s">
        <v>5</v>
      </c>
    </row>
    <row r="79" spans="1:11" ht="17.25" thickBot="1" x14ac:dyDescent="0.3">
      <c r="A79" s="202" t="s">
        <v>18</v>
      </c>
      <c r="B79" s="508"/>
      <c r="C79" s="509"/>
      <c r="D79" s="509"/>
      <c r="E79" s="509"/>
      <c r="F79" s="509"/>
      <c r="G79" s="509"/>
      <c r="H79" s="509"/>
      <c r="I79" s="510"/>
    </row>
    <row r="80" spans="1:11" ht="17.25" thickBot="1" x14ac:dyDescent="0.35">
      <c r="A80" s="203" t="s">
        <v>122</v>
      </c>
      <c r="B80" s="129">
        <f>SUM(B81:B85)</f>
        <v>1340.2840000000001</v>
      </c>
      <c r="C80" s="130">
        <f t="shared" ref="C80:C91" si="25">B80/$N$1</f>
        <v>55.845166666666671</v>
      </c>
      <c r="D80" s="204">
        <f t="shared" ref="D80:E91" si="26">B80/10.65</f>
        <v>125.84826291079813</v>
      </c>
      <c r="E80" s="132">
        <f t="shared" si="26"/>
        <v>5.243677621283255</v>
      </c>
      <c r="F80" s="205">
        <v>1800</v>
      </c>
      <c r="G80" s="206">
        <f t="shared" ref="G80:G91" si="27">F80/$N$1</f>
        <v>75</v>
      </c>
      <c r="H80" s="206">
        <f t="shared" ref="H80:I91" si="28">F80/10.65</f>
        <v>169.01408450704224</v>
      </c>
      <c r="I80" s="207">
        <f t="shared" si="28"/>
        <v>7.0422535211267601</v>
      </c>
    </row>
    <row r="81" spans="1:11" x14ac:dyDescent="0.3">
      <c r="A81" s="208" t="s">
        <v>123</v>
      </c>
      <c r="B81" s="136">
        <v>0</v>
      </c>
      <c r="C81" s="137">
        <f t="shared" si="25"/>
        <v>0</v>
      </c>
      <c r="D81" s="209">
        <f t="shared" si="26"/>
        <v>0</v>
      </c>
      <c r="E81" s="139">
        <f t="shared" si="26"/>
        <v>0</v>
      </c>
      <c r="F81" s="210">
        <v>0</v>
      </c>
      <c r="G81" s="211">
        <f t="shared" si="27"/>
        <v>0</v>
      </c>
      <c r="H81" s="211">
        <f t="shared" si="28"/>
        <v>0</v>
      </c>
      <c r="I81" s="212">
        <f t="shared" si="28"/>
        <v>0</v>
      </c>
    </row>
    <row r="82" spans="1:11" x14ac:dyDescent="0.3">
      <c r="A82" s="213" t="s">
        <v>124</v>
      </c>
      <c r="B82" s="143">
        <v>0</v>
      </c>
      <c r="C82" s="144">
        <f t="shared" si="25"/>
        <v>0</v>
      </c>
      <c r="D82" s="214">
        <f t="shared" si="26"/>
        <v>0</v>
      </c>
      <c r="E82" s="20">
        <f t="shared" si="26"/>
        <v>0</v>
      </c>
      <c r="F82" s="215">
        <v>0</v>
      </c>
      <c r="G82" s="216">
        <f t="shared" si="27"/>
        <v>0</v>
      </c>
      <c r="H82" s="216">
        <f t="shared" si="28"/>
        <v>0</v>
      </c>
      <c r="I82" s="217">
        <f t="shared" si="28"/>
        <v>0</v>
      </c>
    </row>
    <row r="83" spans="1:11" x14ac:dyDescent="0.3">
      <c r="A83" s="213" t="s">
        <v>126</v>
      </c>
      <c r="B83" s="143">
        <v>0</v>
      </c>
      <c r="C83" s="144">
        <f t="shared" si="25"/>
        <v>0</v>
      </c>
      <c r="D83" s="214">
        <f t="shared" si="26"/>
        <v>0</v>
      </c>
      <c r="E83" s="20">
        <f t="shared" si="26"/>
        <v>0</v>
      </c>
      <c r="F83" s="215">
        <v>0</v>
      </c>
      <c r="G83" s="216">
        <f t="shared" si="27"/>
        <v>0</v>
      </c>
      <c r="H83" s="216">
        <f t="shared" si="28"/>
        <v>0</v>
      </c>
      <c r="I83" s="217">
        <f t="shared" si="28"/>
        <v>0</v>
      </c>
    </row>
    <row r="84" spans="1:11" x14ac:dyDescent="0.3">
      <c r="A84" s="213" t="s">
        <v>128</v>
      </c>
      <c r="B84" s="143">
        <v>0</v>
      </c>
      <c r="C84" s="144">
        <f t="shared" si="25"/>
        <v>0</v>
      </c>
      <c r="D84" s="214">
        <f t="shared" si="26"/>
        <v>0</v>
      </c>
      <c r="E84" s="20">
        <f t="shared" si="26"/>
        <v>0</v>
      </c>
      <c r="F84" s="215">
        <v>0</v>
      </c>
      <c r="G84" s="216">
        <f t="shared" si="27"/>
        <v>0</v>
      </c>
      <c r="H84" s="216">
        <f t="shared" si="28"/>
        <v>0</v>
      </c>
      <c r="I84" s="217">
        <f t="shared" si="28"/>
        <v>0</v>
      </c>
    </row>
    <row r="85" spans="1:11" ht="17.25" thickBot="1" x14ac:dyDescent="0.35">
      <c r="A85" s="218" t="s">
        <v>129</v>
      </c>
      <c r="B85" s="148">
        <v>1340.2840000000001</v>
      </c>
      <c r="C85" s="149">
        <f t="shared" si="25"/>
        <v>55.845166666666671</v>
      </c>
      <c r="D85" s="219">
        <f t="shared" si="26"/>
        <v>125.84826291079813</v>
      </c>
      <c r="E85" s="151">
        <f t="shared" si="26"/>
        <v>5.243677621283255</v>
      </c>
      <c r="F85" s="220">
        <v>1800</v>
      </c>
      <c r="G85" s="221">
        <f t="shared" si="27"/>
        <v>75</v>
      </c>
      <c r="H85" s="221">
        <f t="shared" si="28"/>
        <v>169.01408450704224</v>
      </c>
      <c r="I85" s="222">
        <f t="shared" si="28"/>
        <v>7.0422535211267601</v>
      </c>
    </row>
    <row r="86" spans="1:11" ht="17.25" thickBot="1" x14ac:dyDescent="0.3">
      <c r="A86" s="223" t="s">
        <v>132</v>
      </c>
      <c r="B86" s="129">
        <f>SUM(B87:B91)</f>
        <v>635.68399999999986</v>
      </c>
      <c r="C86" s="130">
        <f t="shared" si="25"/>
        <v>26.486833333333326</v>
      </c>
      <c r="D86" s="204">
        <f t="shared" si="26"/>
        <v>59.688638497652569</v>
      </c>
      <c r="E86" s="132">
        <f t="shared" si="26"/>
        <v>2.4870266040688569</v>
      </c>
      <c r="F86" s="224">
        <v>0</v>
      </c>
      <c r="G86" s="206">
        <f t="shared" si="27"/>
        <v>0</v>
      </c>
      <c r="H86" s="206">
        <f t="shared" si="28"/>
        <v>0</v>
      </c>
      <c r="I86" s="207">
        <f>G86/10.65</f>
        <v>0</v>
      </c>
    </row>
    <row r="87" spans="1:11" x14ac:dyDescent="0.3">
      <c r="A87" s="208" t="s">
        <v>133</v>
      </c>
      <c r="B87" s="136">
        <v>0.36799999999999999</v>
      </c>
      <c r="C87" s="137">
        <f t="shared" si="25"/>
        <v>1.5333333333333332E-2</v>
      </c>
      <c r="D87" s="209">
        <f t="shared" si="26"/>
        <v>3.4553990610328635E-2</v>
      </c>
      <c r="E87" s="139">
        <f t="shared" si="26"/>
        <v>1.4397496087636933E-3</v>
      </c>
      <c r="F87" s="210">
        <v>0</v>
      </c>
      <c r="G87" s="211">
        <f t="shared" si="27"/>
        <v>0</v>
      </c>
      <c r="H87" s="211">
        <f t="shared" si="28"/>
        <v>0</v>
      </c>
      <c r="I87" s="212">
        <f t="shared" si="28"/>
        <v>0</v>
      </c>
    </row>
    <row r="88" spans="1:11" x14ac:dyDescent="0.3">
      <c r="A88" s="213" t="s">
        <v>134</v>
      </c>
      <c r="B88" s="143">
        <v>635.3159999999998</v>
      </c>
      <c r="C88" s="144">
        <f t="shared" si="25"/>
        <v>26.471499999999992</v>
      </c>
      <c r="D88" s="214">
        <f t="shared" si="26"/>
        <v>59.654084507042235</v>
      </c>
      <c r="E88" s="20">
        <f t="shared" si="26"/>
        <v>2.485586854460093</v>
      </c>
      <c r="F88" s="215">
        <v>0</v>
      </c>
      <c r="G88" s="216">
        <f t="shared" si="27"/>
        <v>0</v>
      </c>
      <c r="H88" s="216">
        <f t="shared" si="28"/>
        <v>0</v>
      </c>
      <c r="I88" s="217">
        <f t="shared" si="28"/>
        <v>0</v>
      </c>
    </row>
    <row r="89" spans="1:11" x14ac:dyDescent="0.3">
      <c r="A89" s="213" t="s">
        <v>136</v>
      </c>
      <c r="B89" s="143">
        <v>0</v>
      </c>
      <c r="C89" s="144">
        <f t="shared" si="25"/>
        <v>0</v>
      </c>
      <c r="D89" s="214">
        <f t="shared" si="26"/>
        <v>0</v>
      </c>
      <c r="E89" s="20">
        <f t="shared" si="26"/>
        <v>0</v>
      </c>
      <c r="F89" s="215">
        <v>0</v>
      </c>
      <c r="G89" s="216">
        <f t="shared" si="27"/>
        <v>0</v>
      </c>
      <c r="H89" s="216">
        <f t="shared" si="28"/>
        <v>0</v>
      </c>
      <c r="I89" s="217">
        <f t="shared" si="28"/>
        <v>0</v>
      </c>
    </row>
    <row r="90" spans="1:11" x14ac:dyDescent="0.3">
      <c r="A90" s="213" t="s">
        <v>137</v>
      </c>
      <c r="B90" s="143">
        <v>0</v>
      </c>
      <c r="C90" s="144">
        <f t="shared" si="25"/>
        <v>0</v>
      </c>
      <c r="D90" s="214">
        <f t="shared" si="26"/>
        <v>0</v>
      </c>
      <c r="E90" s="20">
        <f t="shared" si="26"/>
        <v>0</v>
      </c>
      <c r="F90" s="215">
        <v>0</v>
      </c>
      <c r="G90" s="216">
        <f t="shared" si="27"/>
        <v>0</v>
      </c>
      <c r="H90" s="216">
        <f t="shared" si="28"/>
        <v>0</v>
      </c>
      <c r="I90" s="217">
        <f t="shared" si="28"/>
        <v>0</v>
      </c>
    </row>
    <row r="91" spans="1:11" ht="17.25" thickBot="1" x14ac:dyDescent="0.35">
      <c r="A91" s="225" t="s">
        <v>139</v>
      </c>
      <c r="B91" s="184">
        <v>0</v>
      </c>
      <c r="C91" s="185">
        <f t="shared" si="25"/>
        <v>0</v>
      </c>
      <c r="D91" s="226">
        <f t="shared" si="26"/>
        <v>0</v>
      </c>
      <c r="E91" s="21">
        <f t="shared" si="26"/>
        <v>0</v>
      </c>
      <c r="F91" s="227">
        <v>0</v>
      </c>
      <c r="G91" s="228">
        <f t="shared" si="27"/>
        <v>0</v>
      </c>
      <c r="H91" s="228">
        <f t="shared" si="28"/>
        <v>0</v>
      </c>
      <c r="I91" s="229">
        <f t="shared" si="28"/>
        <v>0</v>
      </c>
    </row>
    <row r="92" spans="1:11" ht="17.25" thickBot="1" x14ac:dyDescent="0.3">
      <c r="A92" s="202" t="s">
        <v>19</v>
      </c>
      <c r="B92" s="498"/>
      <c r="C92" s="499"/>
      <c r="D92" s="499"/>
      <c r="E92" s="499"/>
      <c r="F92" s="499"/>
      <c r="G92" s="499"/>
      <c r="H92" s="499"/>
      <c r="I92" s="500"/>
    </row>
    <row r="93" spans="1:11" ht="17.25" thickBot="1" x14ac:dyDescent="0.3">
      <c r="A93" s="203" t="s">
        <v>122</v>
      </c>
      <c r="B93" s="129">
        <f>SUM(B94:B98)</f>
        <v>94825.271000000008</v>
      </c>
      <c r="C93" s="130">
        <f t="shared" ref="C93:C104" si="29">B93/$N$1</f>
        <v>3951.0529583333337</v>
      </c>
      <c r="D93" s="204">
        <f t="shared" ref="D93:E104" si="30">B93/10.65</f>
        <v>8903.7813145539913</v>
      </c>
      <c r="E93" s="132">
        <f t="shared" si="30"/>
        <v>370.99088810641632</v>
      </c>
      <c r="F93" s="224">
        <v>50000</v>
      </c>
      <c r="G93" s="206">
        <f t="shared" ref="G93:G104" si="31">F93/$N$1</f>
        <v>2083.3333333333335</v>
      </c>
      <c r="H93" s="206">
        <f t="shared" ref="H93:I104" si="32">F93/10.65</f>
        <v>4694.8356807511736</v>
      </c>
      <c r="I93" s="207">
        <f t="shared" si="32"/>
        <v>195.61815336463224</v>
      </c>
    </row>
    <row r="94" spans="1:11" x14ac:dyDescent="0.25">
      <c r="A94" s="208" t="s">
        <v>123</v>
      </c>
      <c r="B94" s="136">
        <v>11494.880999999999</v>
      </c>
      <c r="C94" s="137">
        <f t="shared" si="29"/>
        <v>478.95337499999999</v>
      </c>
      <c r="D94" s="209">
        <f t="shared" si="30"/>
        <v>1079.3315492957745</v>
      </c>
      <c r="E94" s="139">
        <f t="shared" si="30"/>
        <v>44.972147887323942</v>
      </c>
      <c r="F94" s="230">
        <f>$F$93*K94</f>
        <v>6061.0852353904684</v>
      </c>
      <c r="G94" s="211">
        <f t="shared" si="31"/>
        <v>252.54521814126952</v>
      </c>
      <c r="H94" s="211">
        <f t="shared" si="32"/>
        <v>569.11598454370596</v>
      </c>
      <c r="I94" s="212">
        <f t="shared" si="32"/>
        <v>23.713166022654413</v>
      </c>
      <c r="K94" s="93">
        <f>B94/$B$93</f>
        <v>0.12122170470780937</v>
      </c>
    </row>
    <row r="95" spans="1:11" x14ac:dyDescent="0.25">
      <c r="A95" s="213" t="s">
        <v>124</v>
      </c>
      <c r="B95" s="143">
        <v>53465.241999999998</v>
      </c>
      <c r="C95" s="144">
        <f t="shared" si="29"/>
        <v>2227.7184166666666</v>
      </c>
      <c r="D95" s="214">
        <f t="shared" si="30"/>
        <v>5020.2105164319246</v>
      </c>
      <c r="E95" s="20">
        <f t="shared" si="30"/>
        <v>209.17543818466353</v>
      </c>
      <c r="F95" s="230">
        <f>$F$93*K95</f>
        <v>28191.452255380318</v>
      </c>
      <c r="G95" s="216">
        <f t="shared" si="31"/>
        <v>1174.6438439741798</v>
      </c>
      <c r="H95" s="216">
        <f t="shared" si="32"/>
        <v>2647.0847188150533</v>
      </c>
      <c r="I95" s="217">
        <f t="shared" si="32"/>
        <v>110.29519661729388</v>
      </c>
      <c r="K95" s="93">
        <f>B95/$B$93</f>
        <v>0.56382904510760634</v>
      </c>
    </row>
    <row r="96" spans="1:11" x14ac:dyDescent="0.25">
      <c r="A96" s="213" t="s">
        <v>126</v>
      </c>
      <c r="B96" s="143">
        <v>0</v>
      </c>
      <c r="C96" s="144">
        <f t="shared" si="29"/>
        <v>0</v>
      </c>
      <c r="D96" s="214">
        <f t="shared" si="30"/>
        <v>0</v>
      </c>
      <c r="E96" s="20">
        <f t="shared" si="30"/>
        <v>0</v>
      </c>
      <c r="F96" s="230">
        <f>$F$93*K96</f>
        <v>0</v>
      </c>
      <c r="G96" s="216">
        <f t="shared" si="31"/>
        <v>0</v>
      </c>
      <c r="H96" s="216">
        <f t="shared" si="32"/>
        <v>0</v>
      </c>
      <c r="I96" s="217">
        <f t="shared" si="32"/>
        <v>0</v>
      </c>
      <c r="K96" s="93">
        <f>B96/$B$93</f>
        <v>0</v>
      </c>
    </row>
    <row r="97" spans="1:11" x14ac:dyDescent="0.25">
      <c r="A97" s="213" t="s">
        <v>128</v>
      </c>
      <c r="B97" s="143">
        <v>0</v>
      </c>
      <c r="C97" s="144">
        <f t="shared" si="29"/>
        <v>0</v>
      </c>
      <c r="D97" s="214">
        <f t="shared" si="30"/>
        <v>0</v>
      </c>
      <c r="E97" s="20">
        <f t="shared" si="30"/>
        <v>0</v>
      </c>
      <c r="F97" s="230">
        <f>$F$93*K97</f>
        <v>0</v>
      </c>
      <c r="G97" s="216">
        <f t="shared" si="31"/>
        <v>0</v>
      </c>
      <c r="H97" s="216">
        <f t="shared" si="32"/>
        <v>0</v>
      </c>
      <c r="I97" s="217">
        <f t="shared" si="32"/>
        <v>0</v>
      </c>
      <c r="K97" s="93">
        <f>B97/$B$93</f>
        <v>0</v>
      </c>
    </row>
    <row r="98" spans="1:11" ht="17.25" thickBot="1" x14ac:dyDescent="0.3">
      <c r="A98" s="218" t="s">
        <v>129</v>
      </c>
      <c r="B98" s="148">
        <v>29865.148000000001</v>
      </c>
      <c r="C98" s="149">
        <f t="shared" si="29"/>
        <v>1244.3811666666668</v>
      </c>
      <c r="D98" s="219">
        <f t="shared" si="30"/>
        <v>2804.2392488262913</v>
      </c>
      <c r="E98" s="151">
        <f t="shared" si="30"/>
        <v>116.8433020344288</v>
      </c>
      <c r="F98" s="230">
        <f>$F$93*K98</f>
        <v>15747.46250922921</v>
      </c>
      <c r="G98" s="221">
        <f t="shared" si="31"/>
        <v>656.14427121788378</v>
      </c>
      <c r="H98" s="221">
        <f t="shared" si="32"/>
        <v>1478.6349773924139</v>
      </c>
      <c r="I98" s="222">
        <f t="shared" si="32"/>
        <v>61.609790724683918</v>
      </c>
      <c r="K98" s="93">
        <f>B98/$B$93</f>
        <v>0.3149492501845842</v>
      </c>
    </row>
    <row r="99" spans="1:11" ht="17.25" thickBot="1" x14ac:dyDescent="0.3">
      <c r="A99" s="223" t="s">
        <v>132</v>
      </c>
      <c r="B99" s="129">
        <f>SUM(B100:B104)</f>
        <v>89583.60500000004</v>
      </c>
      <c r="C99" s="130">
        <f t="shared" si="29"/>
        <v>3732.6502083333348</v>
      </c>
      <c r="D99" s="204">
        <f t="shared" si="30"/>
        <v>8411.606103286389</v>
      </c>
      <c r="E99" s="132">
        <f t="shared" si="30"/>
        <v>350.48358763693284</v>
      </c>
      <c r="F99" s="231">
        <f>SUM(F100:F104)</f>
        <v>9960.4484883143487</v>
      </c>
      <c r="G99" s="232">
        <f t="shared" si="31"/>
        <v>415.01868701309786</v>
      </c>
      <c r="H99" s="232">
        <f t="shared" si="32"/>
        <v>935.25337918444586</v>
      </c>
      <c r="I99" s="233">
        <f t="shared" si="32"/>
        <v>38.968890799351911</v>
      </c>
    </row>
    <row r="100" spans="1:11" x14ac:dyDescent="0.25">
      <c r="A100" s="208" t="s">
        <v>133</v>
      </c>
      <c r="B100" s="136">
        <v>17845.857660000001</v>
      </c>
      <c r="C100" s="137">
        <f t="shared" si="29"/>
        <v>743.57740250000006</v>
      </c>
      <c r="D100" s="209">
        <f t="shared" si="30"/>
        <v>1675.667385915493</v>
      </c>
      <c r="E100" s="139">
        <f t="shared" si="30"/>
        <v>69.819474413145542</v>
      </c>
      <c r="F100" s="234">
        <v>9960.4484883143487</v>
      </c>
      <c r="G100" s="235">
        <f t="shared" si="31"/>
        <v>415.01868701309786</v>
      </c>
      <c r="H100" s="235">
        <f t="shared" si="32"/>
        <v>935.25337918444586</v>
      </c>
      <c r="I100" s="236">
        <f t="shared" si="32"/>
        <v>38.968890799351911</v>
      </c>
      <c r="K100" s="93">
        <f>B100/$B$99</f>
        <v>0.19920896976628696</v>
      </c>
    </row>
    <row r="101" spans="1:11" x14ac:dyDescent="0.25">
      <c r="A101" s="213" t="s">
        <v>134</v>
      </c>
      <c r="B101" s="143">
        <v>71737.747340000031</v>
      </c>
      <c r="C101" s="144">
        <f t="shared" si="29"/>
        <v>2989.0728058333348</v>
      </c>
      <c r="D101" s="214">
        <f t="shared" si="30"/>
        <v>6735.9387173708947</v>
      </c>
      <c r="E101" s="20">
        <f t="shared" si="30"/>
        <v>280.6641132237873</v>
      </c>
      <c r="F101" s="230"/>
      <c r="G101" s="216">
        <f t="shared" si="31"/>
        <v>0</v>
      </c>
      <c r="H101" s="216">
        <f t="shared" si="32"/>
        <v>0</v>
      </c>
      <c r="I101" s="217">
        <f t="shared" si="32"/>
        <v>0</v>
      </c>
      <c r="K101" s="93">
        <f>B101/$B$99</f>
        <v>0.80079103023371301</v>
      </c>
    </row>
    <row r="102" spans="1:11" x14ac:dyDescent="0.25">
      <c r="A102" s="213" t="s">
        <v>136</v>
      </c>
      <c r="B102" s="143">
        <v>0</v>
      </c>
      <c r="C102" s="144">
        <f t="shared" si="29"/>
        <v>0</v>
      </c>
      <c r="D102" s="214">
        <f t="shared" si="30"/>
        <v>0</v>
      </c>
      <c r="E102" s="20">
        <f t="shared" si="30"/>
        <v>0</v>
      </c>
      <c r="F102" s="230">
        <v>0</v>
      </c>
      <c r="G102" s="216">
        <f t="shared" si="31"/>
        <v>0</v>
      </c>
      <c r="H102" s="216">
        <f t="shared" si="32"/>
        <v>0</v>
      </c>
      <c r="I102" s="217">
        <f t="shared" si="32"/>
        <v>0</v>
      </c>
      <c r="K102" s="93">
        <f>B102/$B$99</f>
        <v>0</v>
      </c>
    </row>
    <row r="103" spans="1:11" x14ac:dyDescent="0.25">
      <c r="A103" s="213" t="s">
        <v>137</v>
      </c>
      <c r="B103" s="143">
        <v>0</v>
      </c>
      <c r="C103" s="144">
        <f t="shared" si="29"/>
        <v>0</v>
      </c>
      <c r="D103" s="214">
        <f t="shared" si="30"/>
        <v>0</v>
      </c>
      <c r="E103" s="20">
        <f t="shared" si="30"/>
        <v>0</v>
      </c>
      <c r="F103" s="230">
        <v>0</v>
      </c>
      <c r="G103" s="216">
        <f t="shared" si="31"/>
        <v>0</v>
      </c>
      <c r="H103" s="216">
        <f t="shared" si="32"/>
        <v>0</v>
      </c>
      <c r="I103" s="217">
        <f t="shared" si="32"/>
        <v>0</v>
      </c>
      <c r="K103" s="93">
        <f>B103/$B$99</f>
        <v>0</v>
      </c>
    </row>
    <row r="104" spans="1:11" ht="17.25" thickBot="1" x14ac:dyDescent="0.3">
      <c r="A104" s="225" t="s">
        <v>139</v>
      </c>
      <c r="B104" s="184">
        <v>0</v>
      </c>
      <c r="C104" s="185">
        <f t="shared" si="29"/>
        <v>0</v>
      </c>
      <c r="D104" s="226">
        <f t="shared" si="30"/>
        <v>0</v>
      </c>
      <c r="E104" s="21">
        <f t="shared" si="30"/>
        <v>0</v>
      </c>
      <c r="F104" s="237">
        <v>0</v>
      </c>
      <c r="G104" s="228">
        <f t="shared" si="31"/>
        <v>0</v>
      </c>
      <c r="H104" s="228">
        <f t="shared" si="32"/>
        <v>0</v>
      </c>
      <c r="I104" s="229">
        <f t="shared" si="32"/>
        <v>0</v>
      </c>
      <c r="K104" s="93">
        <f>B104/$B$99</f>
        <v>0</v>
      </c>
    </row>
    <row r="105" spans="1:11" ht="17.25" thickBot="1" x14ac:dyDescent="0.3">
      <c r="A105" s="202" t="s">
        <v>20</v>
      </c>
      <c r="B105" s="498"/>
      <c r="C105" s="499"/>
      <c r="D105" s="499"/>
      <c r="E105" s="499"/>
      <c r="F105" s="499"/>
      <c r="G105" s="499"/>
      <c r="H105" s="499"/>
      <c r="I105" s="500"/>
    </row>
    <row r="106" spans="1:11" ht="17.25" thickBot="1" x14ac:dyDescent="0.3">
      <c r="A106" s="203" t="s">
        <v>122</v>
      </c>
      <c r="B106" s="129">
        <f>SUM(B107:B111)</f>
        <v>175565.54</v>
      </c>
      <c r="C106" s="130">
        <f t="shared" ref="C106:C117" si="33">B106/$N$1</f>
        <v>7315.230833333334</v>
      </c>
      <c r="D106" s="204">
        <f t="shared" ref="D106:E117" si="34">B106/10.65</f>
        <v>16485.027230046948</v>
      </c>
      <c r="E106" s="132">
        <f t="shared" si="34"/>
        <v>686.87613458528961</v>
      </c>
      <c r="F106" s="224">
        <v>120000</v>
      </c>
      <c r="G106" s="206">
        <f t="shared" ref="G106:G117" si="35">F106/$N$1</f>
        <v>5000</v>
      </c>
      <c r="H106" s="206">
        <f t="shared" ref="H106:I117" si="36">F106/10.65</f>
        <v>11267.605633802816</v>
      </c>
      <c r="I106" s="207">
        <f t="shared" si="36"/>
        <v>469.48356807511738</v>
      </c>
    </row>
    <row r="107" spans="1:11" x14ac:dyDescent="0.25">
      <c r="A107" s="208" t="s">
        <v>123</v>
      </c>
      <c r="B107" s="136">
        <v>56726.631999999998</v>
      </c>
      <c r="C107" s="137">
        <f t="shared" si="33"/>
        <v>2363.6096666666667</v>
      </c>
      <c r="D107" s="209">
        <f t="shared" si="34"/>
        <v>5326.4443192488261</v>
      </c>
      <c r="E107" s="139">
        <f t="shared" si="34"/>
        <v>221.93517996870111</v>
      </c>
      <c r="F107" s="230">
        <f>$F$106*K107</f>
        <v>38772.961026406432</v>
      </c>
      <c r="G107" s="211">
        <f t="shared" si="35"/>
        <v>1615.5400427669347</v>
      </c>
      <c r="H107" s="211">
        <f t="shared" si="36"/>
        <v>3640.6536175029514</v>
      </c>
      <c r="I107" s="212">
        <f t="shared" si="36"/>
        <v>151.69390072928962</v>
      </c>
      <c r="K107" s="93">
        <f>B107/$B$106</f>
        <v>0.32310800855338695</v>
      </c>
    </row>
    <row r="108" spans="1:11" x14ac:dyDescent="0.25">
      <c r="A108" s="213" t="s">
        <v>124</v>
      </c>
      <c r="B108" s="143">
        <v>72981.608000000007</v>
      </c>
      <c r="C108" s="144">
        <f t="shared" si="33"/>
        <v>3040.9003333333335</v>
      </c>
      <c r="D108" s="214">
        <f t="shared" si="34"/>
        <v>6852.7331455399062</v>
      </c>
      <c r="E108" s="20">
        <f t="shared" si="34"/>
        <v>285.53054773082943</v>
      </c>
      <c r="F108" s="230">
        <f>$F$106*K108</f>
        <v>49883.325395177213</v>
      </c>
      <c r="G108" s="216">
        <f t="shared" si="35"/>
        <v>2078.4718914657174</v>
      </c>
      <c r="H108" s="216">
        <f t="shared" si="36"/>
        <v>4683.880318795982</v>
      </c>
      <c r="I108" s="217">
        <f t="shared" si="36"/>
        <v>195.1616799498326</v>
      </c>
      <c r="K108" s="93">
        <f>B108/$B$106</f>
        <v>0.41569437829314343</v>
      </c>
    </row>
    <row r="109" spans="1:11" x14ac:dyDescent="0.25">
      <c r="A109" s="213" t="s">
        <v>126</v>
      </c>
      <c r="B109" s="143">
        <v>244</v>
      </c>
      <c r="C109" s="144">
        <f t="shared" si="33"/>
        <v>10.166666666666666</v>
      </c>
      <c r="D109" s="214">
        <f t="shared" si="34"/>
        <v>22.910798122065728</v>
      </c>
      <c r="E109" s="20">
        <f t="shared" si="34"/>
        <v>0.95461658841940522</v>
      </c>
      <c r="F109" s="230">
        <f>$F$106*K109</f>
        <v>166.77532504385542</v>
      </c>
      <c r="G109" s="216">
        <f t="shared" si="35"/>
        <v>6.9489718768273088</v>
      </c>
      <c r="H109" s="216">
        <f t="shared" si="36"/>
        <v>15.659654933695343</v>
      </c>
      <c r="I109" s="217">
        <f t="shared" si="36"/>
        <v>0.652485622237306</v>
      </c>
      <c r="K109" s="93">
        <f>B109/$B$106</f>
        <v>1.3897943753654618E-3</v>
      </c>
    </row>
    <row r="110" spans="1:11" x14ac:dyDescent="0.25">
      <c r="A110" s="213" t="s">
        <v>128</v>
      </c>
      <c r="B110" s="143">
        <v>945</v>
      </c>
      <c r="C110" s="144">
        <f t="shared" si="33"/>
        <v>39.375</v>
      </c>
      <c r="D110" s="214">
        <f t="shared" si="34"/>
        <v>88.732394366197184</v>
      </c>
      <c r="E110" s="20">
        <f t="shared" si="34"/>
        <v>3.697183098591549</v>
      </c>
      <c r="F110" s="230">
        <f>$F$106*K110</f>
        <v>645.91263182968589</v>
      </c>
      <c r="G110" s="216">
        <f t="shared" si="35"/>
        <v>26.913026326236913</v>
      </c>
      <c r="H110" s="216">
        <f t="shared" si="36"/>
        <v>60.649073411238113</v>
      </c>
      <c r="I110" s="217">
        <f t="shared" si="36"/>
        <v>2.5270447254682549</v>
      </c>
      <c r="K110" s="93">
        <f>B110/$B$106</f>
        <v>5.3826052652473826E-3</v>
      </c>
    </row>
    <row r="111" spans="1:11" ht="17.25" thickBot="1" x14ac:dyDescent="0.3">
      <c r="A111" s="218" t="s">
        <v>129</v>
      </c>
      <c r="B111" s="148">
        <v>44668.299999999996</v>
      </c>
      <c r="C111" s="149">
        <f t="shared" si="33"/>
        <v>1861.1791666666666</v>
      </c>
      <c r="D111" s="219">
        <f t="shared" si="34"/>
        <v>4194.2065727699528</v>
      </c>
      <c r="E111" s="151">
        <f t="shared" si="34"/>
        <v>174.75860719874802</v>
      </c>
      <c r="F111" s="230">
        <f>$F$106*K111</f>
        <v>30531.025621542809</v>
      </c>
      <c r="G111" s="221">
        <f t="shared" si="35"/>
        <v>1272.1260675642836</v>
      </c>
      <c r="H111" s="221">
        <f t="shared" si="36"/>
        <v>2866.7629691589491</v>
      </c>
      <c r="I111" s="222">
        <f t="shared" si="36"/>
        <v>119.44845704828954</v>
      </c>
      <c r="K111" s="93">
        <f>B111/$B$106</f>
        <v>0.25442521351285674</v>
      </c>
    </row>
    <row r="112" spans="1:11" ht="17.25" thickBot="1" x14ac:dyDescent="0.3">
      <c r="A112" s="223" t="s">
        <v>132</v>
      </c>
      <c r="B112" s="129">
        <f>SUM(B113:B117)</f>
        <v>145301.52840499993</v>
      </c>
      <c r="C112" s="130">
        <f t="shared" si="33"/>
        <v>6054.2303502083305</v>
      </c>
      <c r="D112" s="204">
        <f t="shared" si="34"/>
        <v>13643.336000469477</v>
      </c>
      <c r="E112" s="132">
        <f t="shared" si="34"/>
        <v>568.47233335289491</v>
      </c>
      <c r="F112" s="231">
        <f>SUM(F113:F117)</f>
        <v>21259.74128000778</v>
      </c>
      <c r="G112" s="232">
        <f t="shared" si="35"/>
        <v>885.82255333365754</v>
      </c>
      <c r="H112" s="232">
        <f t="shared" si="36"/>
        <v>1996.2198384983831</v>
      </c>
      <c r="I112" s="233">
        <f t="shared" si="36"/>
        <v>83.175826604099299</v>
      </c>
    </row>
    <row r="113" spans="1:11" x14ac:dyDescent="0.25">
      <c r="A113" s="208" t="s">
        <v>133</v>
      </c>
      <c r="B113" s="136">
        <v>25742.274179</v>
      </c>
      <c r="C113" s="137">
        <f t="shared" si="33"/>
        <v>1072.5947574583333</v>
      </c>
      <c r="D113" s="209">
        <f t="shared" si="34"/>
        <v>2417.1149463849765</v>
      </c>
      <c r="E113" s="139">
        <f t="shared" si="34"/>
        <v>100.71312276604068</v>
      </c>
      <c r="F113" s="230">
        <v>21259.74128000778</v>
      </c>
      <c r="G113" s="211">
        <f t="shared" si="35"/>
        <v>885.82255333365754</v>
      </c>
      <c r="H113" s="211">
        <f t="shared" si="36"/>
        <v>1996.2198384983831</v>
      </c>
      <c r="I113" s="212">
        <f t="shared" si="36"/>
        <v>83.175826604099299</v>
      </c>
      <c r="K113" s="93">
        <f>B113/$B$112</f>
        <v>0.1771645106667315</v>
      </c>
    </row>
    <row r="114" spans="1:11" x14ac:dyDescent="0.25">
      <c r="A114" s="213" t="s">
        <v>134</v>
      </c>
      <c r="B114" s="143">
        <v>119559.25422599992</v>
      </c>
      <c r="C114" s="144">
        <f t="shared" si="33"/>
        <v>4981.6355927499962</v>
      </c>
      <c r="D114" s="214">
        <f t="shared" si="34"/>
        <v>11226.221054084499</v>
      </c>
      <c r="E114" s="20">
        <f t="shared" si="34"/>
        <v>467.75921058685407</v>
      </c>
      <c r="F114" s="230"/>
      <c r="G114" s="216">
        <f t="shared" si="35"/>
        <v>0</v>
      </c>
      <c r="H114" s="216">
        <f t="shared" si="36"/>
        <v>0</v>
      </c>
      <c r="I114" s="217">
        <f t="shared" si="36"/>
        <v>0</v>
      </c>
      <c r="K114" s="93">
        <f>B114/$B$112</f>
        <v>0.82283548933326844</v>
      </c>
    </row>
    <row r="115" spans="1:11" x14ac:dyDescent="0.25">
      <c r="A115" s="213" t="s">
        <v>136</v>
      </c>
      <c r="B115" s="143"/>
      <c r="C115" s="144">
        <f t="shared" si="33"/>
        <v>0</v>
      </c>
      <c r="D115" s="214">
        <f t="shared" si="34"/>
        <v>0</v>
      </c>
      <c r="E115" s="20">
        <f t="shared" si="34"/>
        <v>0</v>
      </c>
      <c r="F115" s="230">
        <v>0</v>
      </c>
      <c r="G115" s="216">
        <f t="shared" si="35"/>
        <v>0</v>
      </c>
      <c r="H115" s="216">
        <f t="shared" si="36"/>
        <v>0</v>
      </c>
      <c r="I115" s="217">
        <f t="shared" si="36"/>
        <v>0</v>
      </c>
      <c r="K115" s="93">
        <f>B115/$B$112</f>
        <v>0</v>
      </c>
    </row>
    <row r="116" spans="1:11" x14ac:dyDescent="0.25">
      <c r="A116" s="213" t="s">
        <v>137</v>
      </c>
      <c r="B116" s="143"/>
      <c r="C116" s="144">
        <f t="shared" si="33"/>
        <v>0</v>
      </c>
      <c r="D116" s="214">
        <f t="shared" si="34"/>
        <v>0</v>
      </c>
      <c r="E116" s="20">
        <f t="shared" si="34"/>
        <v>0</v>
      </c>
      <c r="F116" s="230">
        <v>0</v>
      </c>
      <c r="G116" s="216">
        <f t="shared" si="35"/>
        <v>0</v>
      </c>
      <c r="H116" s="216">
        <f t="shared" si="36"/>
        <v>0</v>
      </c>
      <c r="I116" s="217">
        <f t="shared" si="36"/>
        <v>0</v>
      </c>
      <c r="K116" s="93">
        <f>B116/$B$112</f>
        <v>0</v>
      </c>
    </row>
    <row r="117" spans="1:11" ht="17.25" thickBot="1" x14ac:dyDescent="0.3">
      <c r="A117" s="225" t="s">
        <v>139</v>
      </c>
      <c r="B117" s="184"/>
      <c r="C117" s="185">
        <f t="shared" si="33"/>
        <v>0</v>
      </c>
      <c r="D117" s="226">
        <f t="shared" si="34"/>
        <v>0</v>
      </c>
      <c r="E117" s="21">
        <f t="shared" si="34"/>
        <v>0</v>
      </c>
      <c r="F117" s="230">
        <v>0</v>
      </c>
      <c r="G117" s="228">
        <f t="shared" si="35"/>
        <v>0</v>
      </c>
      <c r="H117" s="228">
        <f t="shared" si="36"/>
        <v>0</v>
      </c>
      <c r="I117" s="229">
        <f t="shared" si="36"/>
        <v>0</v>
      </c>
      <c r="K117" s="93">
        <f>B117/$B$112</f>
        <v>0</v>
      </c>
    </row>
    <row r="118" spans="1:11" ht="17.25" thickBot="1" x14ac:dyDescent="0.3">
      <c r="A118" s="202" t="s">
        <v>21</v>
      </c>
      <c r="B118" s="498"/>
      <c r="C118" s="499"/>
      <c r="D118" s="499"/>
      <c r="E118" s="499"/>
      <c r="F118" s="499"/>
      <c r="G118" s="499"/>
      <c r="H118" s="499"/>
      <c r="I118" s="500"/>
    </row>
    <row r="119" spans="1:11" ht="17.25" thickBot="1" x14ac:dyDescent="0.3">
      <c r="A119" s="203" t="s">
        <v>122</v>
      </c>
      <c r="B119" s="129">
        <f>SUM(B121:B124)</f>
        <v>116431.534686</v>
      </c>
      <c r="C119" s="130">
        <f t="shared" ref="C119:C130" si="37">B119/$N$1</f>
        <v>4851.31394525</v>
      </c>
      <c r="D119" s="204">
        <f t="shared" ref="D119:E130" si="38">B119/10.65</f>
        <v>10932.538468169014</v>
      </c>
      <c r="E119" s="132">
        <f t="shared" si="38"/>
        <v>455.52243617370891</v>
      </c>
      <c r="F119" s="238">
        <v>120000</v>
      </c>
      <c r="G119" s="206">
        <f t="shared" ref="G119:G130" si="39">F119/$N$1</f>
        <v>5000</v>
      </c>
      <c r="H119" s="206">
        <f t="shared" ref="H119:I130" si="40">F119/10.65</f>
        <v>11267.605633802816</v>
      </c>
      <c r="I119" s="207">
        <f t="shared" si="40"/>
        <v>469.48356807511738</v>
      </c>
    </row>
    <row r="120" spans="1:11" x14ac:dyDescent="0.25">
      <c r="A120" s="208" t="s">
        <v>123</v>
      </c>
      <c r="B120" s="136">
        <v>38560.103999999999</v>
      </c>
      <c r="C120" s="137">
        <f t="shared" si="37"/>
        <v>1606.671</v>
      </c>
      <c r="D120" s="209">
        <f t="shared" si="38"/>
        <v>3620.6670422535208</v>
      </c>
      <c r="E120" s="139">
        <f t="shared" si="38"/>
        <v>150.86112676056337</v>
      </c>
      <c r="F120" s="239">
        <f>$F$119*K120</f>
        <v>39741.917792967019</v>
      </c>
      <c r="G120" s="211">
        <f t="shared" si="39"/>
        <v>1655.9132413736259</v>
      </c>
      <c r="H120" s="211">
        <f t="shared" si="40"/>
        <v>3731.6354735180298</v>
      </c>
      <c r="I120" s="212">
        <f t="shared" si="40"/>
        <v>155.48481139658458</v>
      </c>
      <c r="K120" s="93">
        <f>B120/$B$119</f>
        <v>0.33118264827472516</v>
      </c>
    </row>
    <row r="121" spans="1:11" x14ac:dyDescent="0.25">
      <c r="A121" s="213" t="s">
        <v>124</v>
      </c>
      <c r="B121" s="143">
        <v>42657.368999999999</v>
      </c>
      <c r="C121" s="144">
        <f t="shared" si="37"/>
        <v>1777.3903749999999</v>
      </c>
      <c r="D121" s="214">
        <f t="shared" si="38"/>
        <v>4005.38676056338</v>
      </c>
      <c r="E121" s="20">
        <f t="shared" si="38"/>
        <v>166.89111502347416</v>
      </c>
      <c r="F121" s="239">
        <f>$F$119*K121</f>
        <v>43964.758291685619</v>
      </c>
      <c r="G121" s="216">
        <f t="shared" si="39"/>
        <v>1831.8649288202341</v>
      </c>
      <c r="H121" s="216">
        <f t="shared" si="40"/>
        <v>4128.1463184681334</v>
      </c>
      <c r="I121" s="217">
        <f t="shared" si="40"/>
        <v>172.00609660283888</v>
      </c>
      <c r="K121" s="93">
        <f>B121/$B$119</f>
        <v>0.36637298576404681</v>
      </c>
    </row>
    <row r="122" spans="1:11" x14ac:dyDescent="0.25">
      <c r="A122" s="213" t="s">
        <v>126</v>
      </c>
      <c r="B122" s="143"/>
      <c r="C122" s="144">
        <f t="shared" si="37"/>
        <v>0</v>
      </c>
      <c r="D122" s="214">
        <f t="shared" si="38"/>
        <v>0</v>
      </c>
      <c r="E122" s="20">
        <f t="shared" si="38"/>
        <v>0</v>
      </c>
      <c r="F122" s="239">
        <f>$F$119*K122</f>
        <v>0</v>
      </c>
      <c r="G122" s="216">
        <f t="shared" si="39"/>
        <v>0</v>
      </c>
      <c r="H122" s="216">
        <f t="shared" si="40"/>
        <v>0</v>
      </c>
      <c r="I122" s="217">
        <f t="shared" si="40"/>
        <v>0</v>
      </c>
      <c r="K122" s="93">
        <f>B122/$B$119</f>
        <v>0</v>
      </c>
    </row>
    <row r="123" spans="1:11" x14ac:dyDescent="0.25">
      <c r="A123" s="213" t="s">
        <v>128</v>
      </c>
      <c r="B123" s="143">
        <v>1016</v>
      </c>
      <c r="C123" s="144">
        <f t="shared" si="37"/>
        <v>42.333333333333336</v>
      </c>
      <c r="D123" s="214">
        <f t="shared" si="38"/>
        <v>95.399061032863841</v>
      </c>
      <c r="E123" s="20">
        <f t="shared" si="38"/>
        <v>3.9749608763693272</v>
      </c>
      <c r="F123" s="239">
        <f>$F$119*K123</f>
        <v>1047.1389931327594</v>
      </c>
      <c r="G123" s="216">
        <f t="shared" si="39"/>
        <v>43.63079138053164</v>
      </c>
      <c r="H123" s="216">
        <f t="shared" si="40"/>
        <v>98.322910153310744</v>
      </c>
      <c r="I123" s="217">
        <f t="shared" si="40"/>
        <v>4.096787923054614</v>
      </c>
      <c r="K123" s="93">
        <f>B123/$B$119</f>
        <v>8.7261582761063283E-3</v>
      </c>
    </row>
    <row r="124" spans="1:11" ht="17.25" thickBot="1" x14ac:dyDescent="0.3">
      <c r="A124" s="218" t="s">
        <v>129</v>
      </c>
      <c r="B124" s="148">
        <v>72758.165685999993</v>
      </c>
      <c r="C124" s="149">
        <f t="shared" si="37"/>
        <v>3031.5902369166665</v>
      </c>
      <c r="D124" s="219">
        <f t="shared" si="38"/>
        <v>6831.7526465727688</v>
      </c>
      <c r="E124" s="151">
        <f t="shared" si="38"/>
        <v>284.6563602738654</v>
      </c>
      <c r="F124" s="239">
        <f>$F$119*K124</f>
        <v>74988.102715181609</v>
      </c>
      <c r="G124" s="221">
        <f t="shared" si="39"/>
        <v>3124.5042797992337</v>
      </c>
      <c r="H124" s="221">
        <f t="shared" si="40"/>
        <v>7041.1364051813716</v>
      </c>
      <c r="I124" s="222">
        <f t="shared" si="40"/>
        <v>293.38068354922382</v>
      </c>
      <c r="K124" s="93">
        <f>B124/$B$119</f>
        <v>0.62490085595984679</v>
      </c>
    </row>
    <row r="125" spans="1:11" ht="17.25" thickBot="1" x14ac:dyDescent="0.3">
      <c r="A125" s="223" t="s">
        <v>132</v>
      </c>
      <c r="B125" s="129">
        <f>SUM(B126:B130)</f>
        <v>112452.2803839999</v>
      </c>
      <c r="C125" s="130">
        <f t="shared" si="37"/>
        <v>4685.5116826666626</v>
      </c>
      <c r="D125" s="204">
        <f t="shared" si="38"/>
        <v>10558.89956657276</v>
      </c>
      <c r="E125" s="132">
        <f t="shared" si="38"/>
        <v>439.95414860719836</v>
      </c>
      <c r="F125" s="240">
        <f>SUM(F126:F130)</f>
        <v>13515.319851675025</v>
      </c>
      <c r="G125" s="232">
        <f t="shared" si="39"/>
        <v>563.13832715312606</v>
      </c>
      <c r="H125" s="232">
        <f t="shared" si="40"/>
        <v>1269.0441175281715</v>
      </c>
      <c r="I125" s="233">
        <f t="shared" si="40"/>
        <v>52.876838230340475</v>
      </c>
    </row>
    <row r="126" spans="1:11" x14ac:dyDescent="0.25">
      <c r="A126" s="208" t="s">
        <v>133</v>
      </c>
      <c r="B126" s="136">
        <v>12665.237811999999</v>
      </c>
      <c r="C126" s="137">
        <f t="shared" si="37"/>
        <v>527.71824216666664</v>
      </c>
      <c r="D126" s="209">
        <f t="shared" si="38"/>
        <v>1189.2242076995303</v>
      </c>
      <c r="E126" s="139">
        <f t="shared" si="38"/>
        <v>49.551008654147104</v>
      </c>
      <c r="F126" s="241">
        <v>13515.319851675025</v>
      </c>
      <c r="G126" s="235">
        <f t="shared" si="39"/>
        <v>563.13832715312606</v>
      </c>
      <c r="H126" s="235">
        <f t="shared" si="40"/>
        <v>1269.0441175281715</v>
      </c>
      <c r="I126" s="236">
        <f t="shared" si="40"/>
        <v>52.876838230340475</v>
      </c>
      <c r="K126" s="93">
        <f>B126/$B$125</f>
        <v>0.11262766543062522</v>
      </c>
    </row>
    <row r="127" spans="1:11" x14ac:dyDescent="0.25">
      <c r="A127" s="213" t="s">
        <v>134</v>
      </c>
      <c r="B127" s="143">
        <v>99787.042571999889</v>
      </c>
      <c r="C127" s="144">
        <f t="shared" si="37"/>
        <v>4157.7934404999951</v>
      </c>
      <c r="D127" s="214">
        <f t="shared" si="38"/>
        <v>9369.6753588732281</v>
      </c>
      <c r="E127" s="20">
        <f t="shared" si="38"/>
        <v>390.40313995305115</v>
      </c>
      <c r="F127" s="239"/>
      <c r="G127" s="216">
        <f t="shared" si="39"/>
        <v>0</v>
      </c>
      <c r="H127" s="216">
        <f t="shared" si="40"/>
        <v>0</v>
      </c>
      <c r="I127" s="217">
        <f t="shared" si="40"/>
        <v>0</v>
      </c>
      <c r="K127" s="93">
        <f>B127/$B$125</f>
        <v>0.8873723345693747</v>
      </c>
    </row>
    <row r="128" spans="1:11" x14ac:dyDescent="0.25">
      <c r="A128" s="213" t="s">
        <v>136</v>
      </c>
      <c r="B128" s="143"/>
      <c r="C128" s="144">
        <f t="shared" si="37"/>
        <v>0</v>
      </c>
      <c r="D128" s="214">
        <f t="shared" si="38"/>
        <v>0</v>
      </c>
      <c r="E128" s="20">
        <f t="shared" si="38"/>
        <v>0</v>
      </c>
      <c r="F128" s="239">
        <v>0</v>
      </c>
      <c r="G128" s="216">
        <f t="shared" si="39"/>
        <v>0</v>
      </c>
      <c r="H128" s="216">
        <f t="shared" si="40"/>
        <v>0</v>
      </c>
      <c r="I128" s="217">
        <f t="shared" si="40"/>
        <v>0</v>
      </c>
      <c r="K128" s="93">
        <f>B128/$B$125</f>
        <v>0</v>
      </c>
    </row>
    <row r="129" spans="1:11" x14ac:dyDescent="0.25">
      <c r="A129" s="213" t="s">
        <v>137</v>
      </c>
      <c r="B129" s="143"/>
      <c r="C129" s="144">
        <f t="shared" si="37"/>
        <v>0</v>
      </c>
      <c r="D129" s="214">
        <f t="shared" si="38"/>
        <v>0</v>
      </c>
      <c r="E129" s="20">
        <f t="shared" si="38"/>
        <v>0</v>
      </c>
      <c r="F129" s="239">
        <v>0</v>
      </c>
      <c r="G129" s="216">
        <f t="shared" si="39"/>
        <v>0</v>
      </c>
      <c r="H129" s="216">
        <f t="shared" si="40"/>
        <v>0</v>
      </c>
      <c r="I129" s="217">
        <f t="shared" si="40"/>
        <v>0</v>
      </c>
      <c r="K129" s="93">
        <f>B129/$B$125</f>
        <v>0</v>
      </c>
    </row>
    <row r="130" spans="1:11" ht="17.25" thickBot="1" x14ac:dyDescent="0.3">
      <c r="A130" s="225" t="s">
        <v>139</v>
      </c>
      <c r="B130" s="184"/>
      <c r="C130" s="185">
        <f t="shared" si="37"/>
        <v>0</v>
      </c>
      <c r="D130" s="226">
        <f t="shared" si="38"/>
        <v>0</v>
      </c>
      <c r="E130" s="21">
        <f t="shared" si="38"/>
        <v>0</v>
      </c>
      <c r="F130" s="242">
        <v>0</v>
      </c>
      <c r="G130" s="228">
        <f t="shared" si="39"/>
        <v>0</v>
      </c>
      <c r="H130" s="228">
        <f t="shared" si="40"/>
        <v>0</v>
      </c>
      <c r="I130" s="229">
        <f t="shared" si="40"/>
        <v>0</v>
      </c>
      <c r="K130" s="93">
        <f>B130/$B$125</f>
        <v>0</v>
      </c>
    </row>
    <row r="131" spans="1:11" ht="17.25" thickBot="1" x14ac:dyDescent="0.3">
      <c r="A131" s="202" t="s">
        <v>22</v>
      </c>
      <c r="B131" s="498"/>
      <c r="C131" s="499"/>
      <c r="D131" s="499"/>
      <c r="E131" s="499"/>
      <c r="F131" s="499"/>
      <c r="G131" s="499"/>
      <c r="H131" s="499"/>
      <c r="I131" s="500"/>
    </row>
    <row r="132" spans="1:11" ht="17.25" thickBot="1" x14ac:dyDescent="0.3">
      <c r="A132" s="203" t="s">
        <v>122</v>
      </c>
      <c r="B132" s="129">
        <f>SUM(B133:B137)</f>
        <v>71317.625985999999</v>
      </c>
      <c r="C132" s="130">
        <f t="shared" ref="C132:C143" si="41">B132/$N$1</f>
        <v>2971.5677494166666</v>
      </c>
      <c r="D132" s="204">
        <f t="shared" ref="D132:E143" si="42">B132/10.65</f>
        <v>6696.4907029107981</v>
      </c>
      <c r="E132" s="132">
        <f t="shared" si="42"/>
        <v>279.02044595461655</v>
      </c>
      <c r="F132" s="238">
        <v>80000</v>
      </c>
      <c r="G132" s="206">
        <f t="shared" ref="G132:G143" si="43">F132/$N$1</f>
        <v>3333.3333333333335</v>
      </c>
      <c r="H132" s="206">
        <f t="shared" ref="H132:I143" si="44">F132/10.65</f>
        <v>7511.737089201878</v>
      </c>
      <c r="I132" s="207">
        <f t="shared" si="44"/>
        <v>312.98904538341156</v>
      </c>
    </row>
    <row r="133" spans="1:11" x14ac:dyDescent="0.25">
      <c r="A133" s="208" t="s">
        <v>123</v>
      </c>
      <c r="B133" s="136">
        <v>9552.6958200000008</v>
      </c>
      <c r="C133" s="137">
        <f t="shared" si="41"/>
        <v>398.02899250000002</v>
      </c>
      <c r="D133" s="209">
        <f t="shared" si="42"/>
        <v>896.96674366197192</v>
      </c>
      <c r="E133" s="139">
        <f t="shared" si="42"/>
        <v>37.37361431924883</v>
      </c>
      <c r="F133" s="239">
        <f>$F$132*K133</f>
        <v>10715.663274462044</v>
      </c>
      <c r="G133" s="211">
        <f t="shared" si="43"/>
        <v>446.48596976925182</v>
      </c>
      <c r="H133" s="211">
        <f t="shared" si="44"/>
        <v>1006.1655656771871</v>
      </c>
      <c r="I133" s="212">
        <f t="shared" si="44"/>
        <v>41.923565236549464</v>
      </c>
      <c r="K133" s="93">
        <f>B133/$B$132</f>
        <v>0.13394579093077555</v>
      </c>
    </row>
    <row r="134" spans="1:11" x14ac:dyDescent="0.25">
      <c r="A134" s="213" t="s">
        <v>124</v>
      </c>
      <c r="B134" s="143">
        <v>8892.3919999999998</v>
      </c>
      <c r="C134" s="144">
        <f t="shared" si="41"/>
        <v>370.51633333333331</v>
      </c>
      <c r="D134" s="214">
        <f t="shared" si="42"/>
        <v>834.96638497652577</v>
      </c>
      <c r="E134" s="20">
        <f t="shared" si="42"/>
        <v>34.790266040688572</v>
      </c>
      <c r="F134" s="239">
        <f>$F$132*K134</f>
        <v>9974.9725283851931</v>
      </c>
      <c r="G134" s="216">
        <f t="shared" si="43"/>
        <v>415.62385534938306</v>
      </c>
      <c r="H134" s="216">
        <f t="shared" si="44"/>
        <v>936.61713881551111</v>
      </c>
      <c r="I134" s="217">
        <f t="shared" si="44"/>
        <v>39.025714117312965</v>
      </c>
      <c r="K134" s="93">
        <f>B134/$B$132</f>
        <v>0.12468715660481491</v>
      </c>
    </row>
    <row r="135" spans="1:11" x14ac:dyDescent="0.25">
      <c r="A135" s="213" t="s">
        <v>126</v>
      </c>
      <c r="B135" s="143"/>
      <c r="C135" s="144">
        <f t="shared" si="41"/>
        <v>0</v>
      </c>
      <c r="D135" s="214">
        <f t="shared" si="42"/>
        <v>0</v>
      </c>
      <c r="E135" s="20">
        <f t="shared" si="42"/>
        <v>0</v>
      </c>
      <c r="F135" s="239">
        <f>$F$132*K135</f>
        <v>0</v>
      </c>
      <c r="G135" s="216">
        <f t="shared" si="43"/>
        <v>0</v>
      </c>
      <c r="H135" s="216">
        <f t="shared" si="44"/>
        <v>0</v>
      </c>
      <c r="I135" s="217">
        <f t="shared" si="44"/>
        <v>0</v>
      </c>
      <c r="K135" s="93">
        <f>B135/$B$132</f>
        <v>0</v>
      </c>
    </row>
    <row r="136" spans="1:11" x14ac:dyDescent="0.25">
      <c r="A136" s="213" t="s">
        <v>128</v>
      </c>
      <c r="B136" s="143">
        <v>1</v>
      </c>
      <c r="C136" s="144">
        <f t="shared" si="41"/>
        <v>4.1666666666666664E-2</v>
      </c>
      <c r="D136" s="214">
        <f t="shared" si="42"/>
        <v>9.3896713615023469E-2</v>
      </c>
      <c r="E136" s="20">
        <f t="shared" si="42"/>
        <v>3.912363067292644E-3</v>
      </c>
      <c r="F136" s="239">
        <f>$F$132*K136</f>
        <v>1.1217423307907697</v>
      </c>
      <c r="G136" s="216">
        <f t="shared" si="43"/>
        <v>4.6739263782948737E-2</v>
      </c>
      <c r="H136" s="216">
        <f t="shared" si="44"/>
        <v>0.10532791838410982</v>
      </c>
      <c r="I136" s="217">
        <f t="shared" si="44"/>
        <v>4.3886632660045761E-3</v>
      </c>
      <c r="K136" s="93">
        <f>B136/$B$132</f>
        <v>1.4021779134884621E-5</v>
      </c>
    </row>
    <row r="137" spans="1:11" ht="17.25" thickBot="1" x14ac:dyDescent="0.3">
      <c r="A137" s="218" t="s">
        <v>129</v>
      </c>
      <c r="B137" s="148">
        <v>52871.538165999998</v>
      </c>
      <c r="C137" s="149">
        <f t="shared" si="41"/>
        <v>2202.9807569166665</v>
      </c>
      <c r="D137" s="219">
        <f t="shared" si="42"/>
        <v>4964.463677558685</v>
      </c>
      <c r="E137" s="151">
        <f t="shared" si="42"/>
        <v>206.85265323161187</v>
      </c>
      <c r="F137" s="239">
        <f>$F$132*K137</f>
        <v>59308.242454821979</v>
      </c>
      <c r="G137" s="221">
        <f t="shared" si="43"/>
        <v>2471.1767689509156</v>
      </c>
      <c r="H137" s="221">
        <f t="shared" si="44"/>
        <v>5568.8490567907957</v>
      </c>
      <c r="I137" s="222">
        <f t="shared" si="44"/>
        <v>232.03537736628314</v>
      </c>
      <c r="K137" s="93">
        <f>B137/$B$132</f>
        <v>0.74135303068527469</v>
      </c>
    </row>
    <row r="138" spans="1:11" ht="17.25" thickBot="1" x14ac:dyDescent="0.3">
      <c r="A138" s="223" t="s">
        <v>132</v>
      </c>
      <c r="B138" s="129">
        <f>SUM(B139:B143)</f>
        <v>73527.868286000143</v>
      </c>
      <c r="C138" s="130">
        <f t="shared" si="41"/>
        <v>3063.6611785833393</v>
      </c>
      <c r="D138" s="204">
        <f t="shared" si="42"/>
        <v>6904.0251911737223</v>
      </c>
      <c r="E138" s="132">
        <f t="shared" si="42"/>
        <v>287.66771629890508</v>
      </c>
      <c r="F138" s="240">
        <f>SUM(F139:F143)</f>
        <v>556.53755445255376</v>
      </c>
      <c r="G138" s="232">
        <f t="shared" si="43"/>
        <v>23.189064768856408</v>
      </c>
      <c r="H138" s="232">
        <f t="shared" si="44"/>
        <v>52.257047366436971</v>
      </c>
      <c r="I138" s="233">
        <f t="shared" si="44"/>
        <v>2.1773769736015405</v>
      </c>
    </row>
    <row r="139" spans="1:11" x14ac:dyDescent="0.25">
      <c r="A139" s="208" t="s">
        <v>133</v>
      </c>
      <c r="B139" s="136">
        <v>454.67800000000005</v>
      </c>
      <c r="C139" s="137">
        <f t="shared" si="41"/>
        <v>18.944916666666668</v>
      </c>
      <c r="D139" s="209">
        <f t="shared" si="42"/>
        <v>42.692769953051645</v>
      </c>
      <c r="E139" s="139">
        <f t="shared" si="42"/>
        <v>1.7788654147104852</v>
      </c>
      <c r="F139" s="239">
        <v>556.53755445255376</v>
      </c>
      <c r="G139" s="211">
        <f t="shared" si="43"/>
        <v>23.189064768856408</v>
      </c>
      <c r="H139" s="211">
        <f t="shared" si="44"/>
        <v>52.257047366436971</v>
      </c>
      <c r="I139" s="212">
        <f t="shared" si="44"/>
        <v>2.1773769736015405</v>
      </c>
      <c r="K139" s="93">
        <f>B139/$B$138</f>
        <v>6.1837506050283755E-3</v>
      </c>
    </row>
    <row r="140" spans="1:11" x14ac:dyDescent="0.25">
      <c r="A140" s="213" t="s">
        <v>134</v>
      </c>
      <c r="B140" s="143">
        <v>73073.190286000143</v>
      </c>
      <c r="C140" s="144">
        <f t="shared" si="41"/>
        <v>3044.7162619166725</v>
      </c>
      <c r="D140" s="214">
        <f t="shared" si="42"/>
        <v>6861.3324212206708</v>
      </c>
      <c r="E140" s="20">
        <f t="shared" si="42"/>
        <v>285.8888508841946</v>
      </c>
      <c r="F140" s="239"/>
      <c r="G140" s="216">
        <f t="shared" si="43"/>
        <v>0</v>
      </c>
      <c r="H140" s="216">
        <f t="shared" si="44"/>
        <v>0</v>
      </c>
      <c r="I140" s="217">
        <f t="shared" si="44"/>
        <v>0</v>
      </c>
      <c r="K140" s="93">
        <f>B140/$B$138</f>
        <v>0.9938162493949716</v>
      </c>
    </row>
    <row r="141" spans="1:11" x14ac:dyDescent="0.25">
      <c r="A141" s="213" t="s">
        <v>136</v>
      </c>
      <c r="B141" s="143"/>
      <c r="C141" s="144">
        <f t="shared" si="41"/>
        <v>0</v>
      </c>
      <c r="D141" s="214">
        <f t="shared" si="42"/>
        <v>0</v>
      </c>
      <c r="E141" s="20">
        <f t="shared" si="42"/>
        <v>0</v>
      </c>
      <c r="F141" s="239">
        <v>0</v>
      </c>
      <c r="G141" s="216">
        <f t="shared" si="43"/>
        <v>0</v>
      </c>
      <c r="H141" s="216">
        <f t="shared" si="44"/>
        <v>0</v>
      </c>
      <c r="I141" s="217">
        <f t="shared" si="44"/>
        <v>0</v>
      </c>
      <c r="K141" s="93">
        <f>B141/$B$138</f>
        <v>0</v>
      </c>
    </row>
    <row r="142" spans="1:11" x14ac:dyDescent="0.25">
      <c r="A142" s="213" t="s">
        <v>137</v>
      </c>
      <c r="B142" s="143"/>
      <c r="C142" s="144">
        <f t="shared" si="41"/>
        <v>0</v>
      </c>
      <c r="D142" s="214">
        <f t="shared" si="42"/>
        <v>0</v>
      </c>
      <c r="E142" s="20">
        <f t="shared" si="42"/>
        <v>0</v>
      </c>
      <c r="F142" s="239">
        <v>0</v>
      </c>
      <c r="G142" s="216">
        <f t="shared" si="43"/>
        <v>0</v>
      </c>
      <c r="H142" s="216">
        <f t="shared" si="44"/>
        <v>0</v>
      </c>
      <c r="I142" s="217">
        <f t="shared" si="44"/>
        <v>0</v>
      </c>
      <c r="K142" s="93">
        <f>B142/$B$138</f>
        <v>0</v>
      </c>
    </row>
    <row r="143" spans="1:11" ht="17.25" thickBot="1" x14ac:dyDescent="0.3">
      <c r="A143" s="225" t="s">
        <v>139</v>
      </c>
      <c r="B143" s="184"/>
      <c r="C143" s="185">
        <f t="shared" si="41"/>
        <v>0</v>
      </c>
      <c r="D143" s="226">
        <f t="shared" si="42"/>
        <v>0</v>
      </c>
      <c r="E143" s="21">
        <f t="shared" si="42"/>
        <v>0</v>
      </c>
      <c r="F143" s="239">
        <v>0</v>
      </c>
      <c r="G143" s="228">
        <f t="shared" si="43"/>
        <v>0</v>
      </c>
      <c r="H143" s="228">
        <f t="shared" si="44"/>
        <v>0</v>
      </c>
      <c r="I143" s="229">
        <f t="shared" si="44"/>
        <v>0</v>
      </c>
      <c r="K143" s="93">
        <f>B143/$B$138</f>
        <v>0</v>
      </c>
    </row>
    <row r="144" spans="1:11" ht="15" customHeight="1" thickBot="1" x14ac:dyDescent="0.3">
      <c r="A144" s="202" t="s">
        <v>23</v>
      </c>
      <c r="B144" s="501"/>
      <c r="C144" s="502"/>
      <c r="D144" s="502"/>
      <c r="E144" s="502"/>
      <c r="F144" s="502"/>
      <c r="G144" s="502"/>
      <c r="H144" s="502"/>
      <c r="I144" s="503"/>
    </row>
    <row r="145" spans="1:9" ht="17.25" thickBot="1" x14ac:dyDescent="0.3">
      <c r="A145" s="203" t="s">
        <v>122</v>
      </c>
      <c r="B145" s="238">
        <v>1000</v>
      </c>
      <c r="C145" s="243">
        <f t="shared" ref="C145:C156" si="45">B145/$N$1</f>
        <v>41.666666666666664</v>
      </c>
      <c r="D145" s="244">
        <f t="shared" ref="D145:E156" si="46">B145/10.65</f>
        <v>93.896713615023472</v>
      </c>
      <c r="E145" s="207">
        <f t="shared" si="46"/>
        <v>3.9123630672926444</v>
      </c>
      <c r="F145" s="238">
        <v>1000</v>
      </c>
      <c r="G145" s="206">
        <f t="shared" ref="G145:G156" si="47">F145/$N$1</f>
        <v>41.666666666666664</v>
      </c>
      <c r="H145" s="206">
        <f t="shared" ref="H145:I156" si="48">F145/10.65</f>
        <v>93.896713615023472</v>
      </c>
      <c r="I145" s="207">
        <f t="shared" si="48"/>
        <v>3.9123630672926444</v>
      </c>
    </row>
    <row r="146" spans="1:9" x14ac:dyDescent="0.25">
      <c r="A146" s="208" t="s">
        <v>123</v>
      </c>
      <c r="B146" s="245"/>
      <c r="C146" s="246">
        <f t="shared" si="45"/>
        <v>0</v>
      </c>
      <c r="D146" s="247">
        <f t="shared" si="46"/>
        <v>0</v>
      </c>
      <c r="E146" s="212">
        <f t="shared" si="46"/>
        <v>0</v>
      </c>
      <c r="F146" s="239"/>
      <c r="G146" s="211">
        <f t="shared" si="47"/>
        <v>0</v>
      </c>
      <c r="H146" s="211">
        <f t="shared" si="48"/>
        <v>0</v>
      </c>
      <c r="I146" s="212">
        <f t="shared" si="48"/>
        <v>0</v>
      </c>
    </row>
    <row r="147" spans="1:9" x14ac:dyDescent="0.25">
      <c r="A147" s="213" t="s">
        <v>124</v>
      </c>
      <c r="B147" s="248"/>
      <c r="C147" s="249">
        <f t="shared" si="45"/>
        <v>0</v>
      </c>
      <c r="D147" s="250">
        <f t="shared" si="46"/>
        <v>0</v>
      </c>
      <c r="E147" s="217">
        <f t="shared" si="46"/>
        <v>0</v>
      </c>
      <c r="F147" s="251"/>
      <c r="G147" s="216">
        <f t="shared" si="47"/>
        <v>0</v>
      </c>
      <c r="H147" s="216">
        <f t="shared" si="48"/>
        <v>0</v>
      </c>
      <c r="I147" s="217">
        <f t="shared" si="48"/>
        <v>0</v>
      </c>
    </row>
    <row r="148" spans="1:9" x14ac:dyDescent="0.25">
      <c r="A148" s="213" t="s">
        <v>126</v>
      </c>
      <c r="B148" s="248"/>
      <c r="C148" s="249">
        <f t="shared" si="45"/>
        <v>0</v>
      </c>
      <c r="D148" s="250">
        <f t="shared" si="46"/>
        <v>0</v>
      </c>
      <c r="E148" s="217">
        <f t="shared" si="46"/>
        <v>0</v>
      </c>
      <c r="F148" s="251"/>
      <c r="G148" s="216">
        <f t="shared" si="47"/>
        <v>0</v>
      </c>
      <c r="H148" s="216">
        <f t="shared" si="48"/>
        <v>0</v>
      </c>
      <c r="I148" s="217">
        <f t="shared" si="48"/>
        <v>0</v>
      </c>
    </row>
    <row r="149" spans="1:9" x14ac:dyDescent="0.25">
      <c r="A149" s="213" t="s">
        <v>128</v>
      </c>
      <c r="B149" s="248"/>
      <c r="C149" s="249">
        <f t="shared" si="45"/>
        <v>0</v>
      </c>
      <c r="D149" s="250">
        <f t="shared" si="46"/>
        <v>0</v>
      </c>
      <c r="E149" s="217">
        <f t="shared" si="46"/>
        <v>0</v>
      </c>
      <c r="F149" s="251"/>
      <c r="G149" s="216">
        <f t="shared" si="47"/>
        <v>0</v>
      </c>
      <c r="H149" s="216">
        <f t="shared" si="48"/>
        <v>0</v>
      </c>
      <c r="I149" s="217">
        <f t="shared" si="48"/>
        <v>0</v>
      </c>
    </row>
    <row r="150" spans="1:9" ht="17.25" thickBot="1" x14ac:dyDescent="0.3">
      <c r="A150" s="218" t="s">
        <v>129</v>
      </c>
      <c r="B150" s="252">
        <v>1000</v>
      </c>
      <c r="C150" s="253">
        <f t="shared" si="45"/>
        <v>41.666666666666664</v>
      </c>
      <c r="D150" s="254">
        <f t="shared" si="46"/>
        <v>93.896713615023472</v>
      </c>
      <c r="E150" s="222">
        <f t="shared" si="46"/>
        <v>3.9123630672926444</v>
      </c>
      <c r="F150" s="255">
        <v>1000</v>
      </c>
      <c r="G150" s="221">
        <f t="shared" si="47"/>
        <v>41.666666666666664</v>
      </c>
      <c r="H150" s="221">
        <f t="shared" si="48"/>
        <v>93.896713615023472</v>
      </c>
      <c r="I150" s="222">
        <f t="shared" si="48"/>
        <v>3.9123630672926444</v>
      </c>
    </row>
    <row r="151" spans="1:9" ht="17.25" thickBot="1" x14ac:dyDescent="0.3">
      <c r="A151" s="223" t="s">
        <v>132</v>
      </c>
      <c r="B151" s="240">
        <v>1000</v>
      </c>
      <c r="C151" s="256">
        <f t="shared" si="45"/>
        <v>41.666666666666664</v>
      </c>
      <c r="D151" s="257">
        <f t="shared" si="46"/>
        <v>93.896713615023472</v>
      </c>
      <c r="E151" s="233">
        <f t="shared" si="46"/>
        <v>3.9123630672926444</v>
      </c>
      <c r="F151" s="240">
        <v>0</v>
      </c>
      <c r="G151" s="232">
        <f t="shared" si="47"/>
        <v>0</v>
      </c>
      <c r="H151" s="232">
        <f t="shared" si="48"/>
        <v>0</v>
      </c>
      <c r="I151" s="233">
        <f t="shared" si="48"/>
        <v>0</v>
      </c>
    </row>
    <row r="152" spans="1:9" x14ac:dyDescent="0.25">
      <c r="A152" s="208" t="s">
        <v>133</v>
      </c>
      <c r="B152" s="245"/>
      <c r="C152" s="246">
        <f t="shared" si="45"/>
        <v>0</v>
      </c>
      <c r="D152" s="247">
        <f t="shared" si="46"/>
        <v>0</v>
      </c>
      <c r="E152" s="212">
        <f t="shared" si="46"/>
        <v>0</v>
      </c>
      <c r="F152" s="239"/>
      <c r="G152" s="211">
        <f t="shared" si="47"/>
        <v>0</v>
      </c>
      <c r="H152" s="211">
        <f t="shared" si="48"/>
        <v>0</v>
      </c>
      <c r="I152" s="212">
        <f t="shared" si="48"/>
        <v>0</v>
      </c>
    </row>
    <row r="153" spans="1:9" x14ac:dyDescent="0.25">
      <c r="A153" s="213" t="s">
        <v>134</v>
      </c>
      <c r="B153" s="248">
        <v>1000</v>
      </c>
      <c r="C153" s="249">
        <f t="shared" si="45"/>
        <v>41.666666666666664</v>
      </c>
      <c r="D153" s="250">
        <f t="shared" si="46"/>
        <v>93.896713615023472</v>
      </c>
      <c r="E153" s="217">
        <f t="shared" si="46"/>
        <v>3.9123630672926444</v>
      </c>
      <c r="F153" s="251">
        <v>0</v>
      </c>
      <c r="G153" s="216">
        <f t="shared" si="47"/>
        <v>0</v>
      </c>
      <c r="H153" s="216">
        <f t="shared" si="48"/>
        <v>0</v>
      </c>
      <c r="I153" s="217">
        <f t="shared" si="48"/>
        <v>0</v>
      </c>
    </row>
    <row r="154" spans="1:9" x14ac:dyDescent="0.25">
      <c r="A154" s="213" t="s">
        <v>136</v>
      </c>
      <c r="B154" s="248"/>
      <c r="C154" s="249">
        <f t="shared" si="45"/>
        <v>0</v>
      </c>
      <c r="D154" s="250">
        <f t="shared" si="46"/>
        <v>0</v>
      </c>
      <c r="E154" s="217">
        <f t="shared" si="46"/>
        <v>0</v>
      </c>
      <c r="F154" s="251"/>
      <c r="G154" s="216">
        <f t="shared" si="47"/>
        <v>0</v>
      </c>
      <c r="H154" s="216">
        <f t="shared" si="48"/>
        <v>0</v>
      </c>
      <c r="I154" s="217">
        <f t="shared" si="48"/>
        <v>0</v>
      </c>
    </row>
    <row r="155" spans="1:9" x14ac:dyDescent="0.25">
      <c r="A155" s="213" t="s">
        <v>137</v>
      </c>
      <c r="B155" s="248"/>
      <c r="C155" s="249">
        <f t="shared" si="45"/>
        <v>0</v>
      </c>
      <c r="D155" s="250">
        <f t="shared" si="46"/>
        <v>0</v>
      </c>
      <c r="E155" s="217">
        <f t="shared" si="46"/>
        <v>0</v>
      </c>
      <c r="F155" s="251"/>
      <c r="G155" s="216">
        <f t="shared" si="47"/>
        <v>0</v>
      </c>
      <c r="H155" s="216">
        <f t="shared" si="48"/>
        <v>0</v>
      </c>
      <c r="I155" s="217">
        <f t="shared" si="48"/>
        <v>0</v>
      </c>
    </row>
    <row r="156" spans="1:9" ht="17.25" thickBot="1" x14ac:dyDescent="0.3">
      <c r="A156" s="225" t="s">
        <v>139</v>
      </c>
      <c r="B156" s="258"/>
      <c r="C156" s="259">
        <f t="shared" si="45"/>
        <v>0</v>
      </c>
      <c r="D156" s="260">
        <f t="shared" si="46"/>
        <v>0</v>
      </c>
      <c r="E156" s="229">
        <f t="shared" si="46"/>
        <v>0</v>
      </c>
      <c r="F156" s="261"/>
      <c r="G156" s="228">
        <f t="shared" si="47"/>
        <v>0</v>
      </c>
      <c r="H156" s="228">
        <f t="shared" si="48"/>
        <v>0</v>
      </c>
      <c r="I156" s="229">
        <f t="shared" si="48"/>
        <v>0</v>
      </c>
    </row>
    <row r="157" spans="1:9" ht="17.25" thickBot="1" x14ac:dyDescent="0.3">
      <c r="A157" s="202" t="s">
        <v>24</v>
      </c>
      <c r="B157" s="504"/>
      <c r="C157" s="505"/>
      <c r="D157" s="505"/>
      <c r="E157" s="505"/>
      <c r="F157" s="505"/>
      <c r="G157" s="505"/>
      <c r="H157" s="505"/>
      <c r="I157" s="506"/>
    </row>
    <row r="158" spans="1:9" ht="17.25" thickBot="1" x14ac:dyDescent="0.3">
      <c r="A158" s="203" t="s">
        <v>122</v>
      </c>
      <c r="B158" s="238">
        <v>1000</v>
      </c>
      <c r="C158" s="243">
        <f t="shared" ref="C158:C169" si="49">B158/$N$1</f>
        <v>41.666666666666664</v>
      </c>
      <c r="D158" s="244">
        <f t="shared" ref="D158:E169" si="50">B158/10.65</f>
        <v>93.896713615023472</v>
      </c>
      <c r="E158" s="207">
        <f t="shared" si="50"/>
        <v>3.9123630672926444</v>
      </c>
      <c r="F158" s="238">
        <v>1000</v>
      </c>
      <c r="G158" s="206">
        <f t="shared" ref="G158:G169" si="51">F158/$N$1</f>
        <v>41.666666666666664</v>
      </c>
      <c r="H158" s="206">
        <f t="shared" ref="H158:I169" si="52">F158/10.65</f>
        <v>93.896713615023472</v>
      </c>
      <c r="I158" s="207">
        <f t="shared" si="52"/>
        <v>3.9123630672926444</v>
      </c>
    </row>
    <row r="159" spans="1:9" x14ac:dyDescent="0.25">
      <c r="A159" s="213" t="s">
        <v>124</v>
      </c>
      <c r="B159" s="248"/>
      <c r="C159" s="249">
        <f t="shared" si="49"/>
        <v>0</v>
      </c>
      <c r="D159" s="250">
        <f t="shared" si="50"/>
        <v>0</v>
      </c>
      <c r="E159" s="217">
        <f t="shared" si="50"/>
        <v>0</v>
      </c>
      <c r="F159" s="251"/>
      <c r="G159" s="216">
        <f t="shared" si="51"/>
        <v>0</v>
      </c>
      <c r="H159" s="216">
        <f t="shared" si="52"/>
        <v>0</v>
      </c>
      <c r="I159" s="217">
        <f t="shared" si="52"/>
        <v>0</v>
      </c>
    </row>
    <row r="160" spans="1:9" x14ac:dyDescent="0.25">
      <c r="A160" s="213" t="s">
        <v>126</v>
      </c>
      <c r="B160" s="248"/>
      <c r="C160" s="249">
        <f t="shared" si="49"/>
        <v>0</v>
      </c>
      <c r="D160" s="250">
        <f t="shared" si="50"/>
        <v>0</v>
      </c>
      <c r="E160" s="217">
        <f t="shared" si="50"/>
        <v>0</v>
      </c>
      <c r="F160" s="251"/>
      <c r="G160" s="216">
        <f t="shared" si="51"/>
        <v>0</v>
      </c>
      <c r="H160" s="216">
        <f t="shared" si="52"/>
        <v>0</v>
      </c>
      <c r="I160" s="217">
        <f t="shared" si="52"/>
        <v>0</v>
      </c>
    </row>
    <row r="161" spans="1:9" x14ac:dyDescent="0.25">
      <c r="A161" s="213" t="s">
        <v>128</v>
      </c>
      <c r="B161" s="248"/>
      <c r="C161" s="249">
        <f t="shared" si="49"/>
        <v>0</v>
      </c>
      <c r="D161" s="250">
        <f t="shared" si="50"/>
        <v>0</v>
      </c>
      <c r="E161" s="217">
        <f t="shared" si="50"/>
        <v>0</v>
      </c>
      <c r="F161" s="251"/>
      <c r="G161" s="216">
        <f t="shared" si="51"/>
        <v>0</v>
      </c>
      <c r="H161" s="216">
        <f t="shared" si="52"/>
        <v>0</v>
      </c>
      <c r="I161" s="217">
        <f t="shared" si="52"/>
        <v>0</v>
      </c>
    </row>
    <row r="162" spans="1:9" ht="17.25" thickBot="1" x14ac:dyDescent="0.3">
      <c r="A162" s="218" t="s">
        <v>129</v>
      </c>
      <c r="B162" s="252">
        <v>1000</v>
      </c>
      <c r="C162" s="253">
        <f t="shared" si="49"/>
        <v>41.666666666666664</v>
      </c>
      <c r="D162" s="254">
        <f t="shared" si="50"/>
        <v>93.896713615023472</v>
      </c>
      <c r="E162" s="222">
        <f t="shared" si="50"/>
        <v>3.9123630672926444</v>
      </c>
      <c r="F162" s="255">
        <v>1000</v>
      </c>
      <c r="G162" s="221">
        <f t="shared" si="51"/>
        <v>41.666666666666664</v>
      </c>
      <c r="H162" s="221">
        <f t="shared" si="52"/>
        <v>93.896713615023472</v>
      </c>
      <c r="I162" s="222">
        <f t="shared" si="52"/>
        <v>3.9123630672926444</v>
      </c>
    </row>
    <row r="163" spans="1:9" ht="17.25" thickBot="1" x14ac:dyDescent="0.3">
      <c r="A163" s="223" t="s">
        <v>132</v>
      </c>
      <c r="B163" s="240">
        <v>1000</v>
      </c>
      <c r="C163" s="256">
        <f t="shared" si="49"/>
        <v>41.666666666666664</v>
      </c>
      <c r="D163" s="257">
        <f t="shared" si="50"/>
        <v>93.896713615023472</v>
      </c>
      <c r="E163" s="233">
        <f t="shared" si="50"/>
        <v>3.9123630672926444</v>
      </c>
      <c r="F163" s="240">
        <v>0</v>
      </c>
      <c r="G163" s="232">
        <f t="shared" si="51"/>
        <v>0</v>
      </c>
      <c r="H163" s="232">
        <f t="shared" si="52"/>
        <v>0</v>
      </c>
      <c r="I163" s="233">
        <f t="shared" si="52"/>
        <v>0</v>
      </c>
    </row>
    <row r="164" spans="1:9" x14ac:dyDescent="0.25">
      <c r="A164" s="208" t="s">
        <v>133</v>
      </c>
      <c r="B164" s="245"/>
      <c r="C164" s="246">
        <f t="shared" si="49"/>
        <v>0</v>
      </c>
      <c r="D164" s="247">
        <f t="shared" si="50"/>
        <v>0</v>
      </c>
      <c r="E164" s="212">
        <f t="shared" si="50"/>
        <v>0</v>
      </c>
      <c r="F164" s="239"/>
      <c r="G164" s="211">
        <f t="shared" si="51"/>
        <v>0</v>
      </c>
      <c r="H164" s="211">
        <f t="shared" si="52"/>
        <v>0</v>
      </c>
      <c r="I164" s="212">
        <f t="shared" si="52"/>
        <v>0</v>
      </c>
    </row>
    <row r="165" spans="1:9" x14ac:dyDescent="0.25">
      <c r="A165" s="213" t="s">
        <v>134</v>
      </c>
      <c r="B165" s="248">
        <v>0</v>
      </c>
      <c r="C165" s="249">
        <f t="shared" si="49"/>
        <v>0</v>
      </c>
      <c r="D165" s="250">
        <f t="shared" si="50"/>
        <v>0</v>
      </c>
      <c r="E165" s="217">
        <f t="shared" si="50"/>
        <v>0</v>
      </c>
      <c r="F165" s="251">
        <v>0</v>
      </c>
      <c r="G165" s="216">
        <f t="shared" si="51"/>
        <v>0</v>
      </c>
      <c r="H165" s="216">
        <f t="shared" si="52"/>
        <v>0</v>
      </c>
      <c r="I165" s="217">
        <f t="shared" si="52"/>
        <v>0</v>
      </c>
    </row>
    <row r="166" spans="1:9" x14ac:dyDescent="0.25">
      <c r="A166" s="213" t="s">
        <v>135</v>
      </c>
      <c r="B166" s="248">
        <v>1000</v>
      </c>
      <c r="C166" s="249">
        <f t="shared" si="49"/>
        <v>41.666666666666664</v>
      </c>
      <c r="D166" s="250">
        <f t="shared" si="50"/>
        <v>93.896713615023472</v>
      </c>
      <c r="E166" s="217">
        <f t="shared" si="50"/>
        <v>3.9123630672926444</v>
      </c>
      <c r="F166" s="251"/>
      <c r="G166" s="216">
        <f t="shared" si="51"/>
        <v>0</v>
      </c>
      <c r="H166" s="216">
        <f t="shared" si="52"/>
        <v>0</v>
      </c>
      <c r="I166" s="217">
        <f t="shared" si="52"/>
        <v>0</v>
      </c>
    </row>
    <row r="167" spans="1:9" x14ac:dyDescent="0.25">
      <c r="A167" s="213" t="s">
        <v>136</v>
      </c>
      <c r="B167" s="248"/>
      <c r="C167" s="249">
        <f t="shared" si="49"/>
        <v>0</v>
      </c>
      <c r="D167" s="250">
        <f t="shared" si="50"/>
        <v>0</v>
      </c>
      <c r="E167" s="217">
        <f t="shared" si="50"/>
        <v>0</v>
      </c>
      <c r="F167" s="251"/>
      <c r="G167" s="216">
        <f t="shared" si="51"/>
        <v>0</v>
      </c>
      <c r="H167" s="216">
        <f t="shared" si="52"/>
        <v>0</v>
      </c>
      <c r="I167" s="217">
        <f t="shared" si="52"/>
        <v>0</v>
      </c>
    </row>
    <row r="168" spans="1:9" x14ac:dyDescent="0.25">
      <c r="A168" s="213" t="s">
        <v>137</v>
      </c>
      <c r="B168" s="248"/>
      <c r="C168" s="249">
        <f t="shared" si="49"/>
        <v>0</v>
      </c>
      <c r="D168" s="250">
        <f t="shared" si="50"/>
        <v>0</v>
      </c>
      <c r="E168" s="217">
        <f t="shared" si="50"/>
        <v>0</v>
      </c>
      <c r="F168" s="251"/>
      <c r="G168" s="216">
        <f t="shared" si="51"/>
        <v>0</v>
      </c>
      <c r="H168" s="216">
        <f t="shared" si="52"/>
        <v>0</v>
      </c>
      <c r="I168" s="217">
        <f t="shared" si="52"/>
        <v>0</v>
      </c>
    </row>
    <row r="169" spans="1:9" ht="17.25" thickBot="1" x14ac:dyDescent="0.3">
      <c r="A169" s="225" t="s">
        <v>139</v>
      </c>
      <c r="B169" s="258"/>
      <c r="C169" s="259">
        <f t="shared" si="49"/>
        <v>0</v>
      </c>
      <c r="D169" s="260">
        <f t="shared" si="50"/>
        <v>0</v>
      </c>
      <c r="E169" s="229">
        <f t="shared" si="50"/>
        <v>0</v>
      </c>
      <c r="F169" s="261"/>
      <c r="G169" s="228">
        <f t="shared" si="51"/>
        <v>0</v>
      </c>
      <c r="H169" s="228">
        <f t="shared" si="52"/>
        <v>0</v>
      </c>
      <c r="I169" s="229">
        <f t="shared" si="52"/>
        <v>0</v>
      </c>
    </row>
    <row r="170" spans="1:9" ht="17.25" thickBot="1" x14ac:dyDescent="0.3">
      <c r="A170" s="262" t="s">
        <v>25</v>
      </c>
      <c r="B170" s="504"/>
      <c r="C170" s="505"/>
      <c r="D170" s="505"/>
      <c r="E170" s="505"/>
      <c r="F170" s="505"/>
      <c r="G170" s="505"/>
      <c r="H170" s="505"/>
      <c r="I170" s="506"/>
    </row>
    <row r="171" spans="1:9" ht="17.25" thickBot="1" x14ac:dyDescent="0.3">
      <c r="A171" s="203" t="s">
        <v>122</v>
      </c>
      <c r="B171" s="263">
        <v>1000</v>
      </c>
      <c r="C171" s="264">
        <f t="shared" ref="C171:C182" si="53">B171/$N$1</f>
        <v>41.666666666666664</v>
      </c>
      <c r="D171" s="265">
        <f t="shared" ref="D171:E182" si="54">B171/10.65</f>
        <v>93.896713615023472</v>
      </c>
      <c r="E171" s="266">
        <f t="shared" si="54"/>
        <v>3.9123630672926444</v>
      </c>
      <c r="F171" s="263">
        <v>1000</v>
      </c>
      <c r="G171" s="267">
        <f t="shared" ref="G171:G182" si="55">F171/$N$1</f>
        <v>41.666666666666664</v>
      </c>
      <c r="H171" s="267">
        <f t="shared" ref="H171:I182" si="56">F171/10.65</f>
        <v>93.896713615023472</v>
      </c>
      <c r="I171" s="266">
        <f t="shared" si="56"/>
        <v>3.9123630672926444</v>
      </c>
    </row>
    <row r="172" spans="1:9" x14ac:dyDescent="0.25">
      <c r="A172" s="213" t="s">
        <v>124</v>
      </c>
      <c r="B172" s="268"/>
      <c r="C172" s="269">
        <f t="shared" si="53"/>
        <v>0</v>
      </c>
      <c r="D172" s="270">
        <f t="shared" si="54"/>
        <v>0</v>
      </c>
      <c r="E172" s="271">
        <f t="shared" si="54"/>
        <v>0</v>
      </c>
      <c r="F172" s="272"/>
      <c r="G172" s="273">
        <f t="shared" si="55"/>
        <v>0</v>
      </c>
      <c r="H172" s="273">
        <f t="shared" si="56"/>
        <v>0</v>
      </c>
      <c r="I172" s="271">
        <f t="shared" si="56"/>
        <v>0</v>
      </c>
    </row>
    <row r="173" spans="1:9" x14ac:dyDescent="0.25">
      <c r="A173" s="213" t="s">
        <v>126</v>
      </c>
      <c r="B173" s="268"/>
      <c r="C173" s="269">
        <f t="shared" si="53"/>
        <v>0</v>
      </c>
      <c r="D173" s="270">
        <f t="shared" si="54"/>
        <v>0</v>
      </c>
      <c r="E173" s="271">
        <f t="shared" si="54"/>
        <v>0</v>
      </c>
      <c r="F173" s="272"/>
      <c r="G173" s="273">
        <f t="shared" si="55"/>
        <v>0</v>
      </c>
      <c r="H173" s="273">
        <f t="shared" si="56"/>
        <v>0</v>
      </c>
      <c r="I173" s="271">
        <f t="shared" si="56"/>
        <v>0</v>
      </c>
    </row>
    <row r="174" spans="1:9" x14ac:dyDescent="0.25">
      <c r="A174" s="213" t="s">
        <v>128</v>
      </c>
      <c r="B174" s="268"/>
      <c r="C174" s="269">
        <f t="shared" si="53"/>
        <v>0</v>
      </c>
      <c r="D174" s="270">
        <f t="shared" si="54"/>
        <v>0</v>
      </c>
      <c r="E174" s="271">
        <f t="shared" si="54"/>
        <v>0</v>
      </c>
      <c r="F174" s="272"/>
      <c r="G174" s="273">
        <f t="shared" si="55"/>
        <v>0</v>
      </c>
      <c r="H174" s="273">
        <f t="shared" si="56"/>
        <v>0</v>
      </c>
      <c r="I174" s="271">
        <f t="shared" si="56"/>
        <v>0</v>
      </c>
    </row>
    <row r="175" spans="1:9" ht="17.25" thickBot="1" x14ac:dyDescent="0.3">
      <c r="A175" s="218" t="s">
        <v>129</v>
      </c>
      <c r="B175" s="274">
        <v>1000</v>
      </c>
      <c r="C175" s="275">
        <f t="shared" si="53"/>
        <v>41.666666666666664</v>
      </c>
      <c r="D175" s="276">
        <f t="shared" si="54"/>
        <v>93.896713615023472</v>
      </c>
      <c r="E175" s="277">
        <f t="shared" si="54"/>
        <v>3.9123630672926444</v>
      </c>
      <c r="F175" s="278">
        <v>1000</v>
      </c>
      <c r="G175" s="279">
        <f t="shared" si="55"/>
        <v>41.666666666666664</v>
      </c>
      <c r="H175" s="279">
        <f t="shared" si="56"/>
        <v>93.896713615023472</v>
      </c>
      <c r="I175" s="277">
        <f t="shared" si="56"/>
        <v>3.9123630672926444</v>
      </c>
    </row>
    <row r="176" spans="1:9" ht="17.25" thickBot="1" x14ac:dyDescent="0.3">
      <c r="A176" s="223" t="s">
        <v>132</v>
      </c>
      <c r="B176" s="263">
        <v>1000</v>
      </c>
      <c r="C176" s="264">
        <f t="shared" si="53"/>
        <v>41.666666666666664</v>
      </c>
      <c r="D176" s="265">
        <f t="shared" si="54"/>
        <v>93.896713615023472</v>
      </c>
      <c r="E176" s="266">
        <f t="shared" si="54"/>
        <v>3.9123630672926444</v>
      </c>
      <c r="F176" s="263">
        <v>0</v>
      </c>
      <c r="G176" s="267">
        <f t="shared" si="55"/>
        <v>0</v>
      </c>
      <c r="H176" s="267">
        <f t="shared" si="56"/>
        <v>0</v>
      </c>
      <c r="I176" s="266">
        <f t="shared" si="56"/>
        <v>0</v>
      </c>
    </row>
    <row r="177" spans="1:9" x14ac:dyDescent="0.25">
      <c r="A177" s="208" t="s">
        <v>133</v>
      </c>
      <c r="B177" s="280"/>
      <c r="C177" s="281">
        <f t="shared" si="53"/>
        <v>0</v>
      </c>
      <c r="D177" s="282">
        <f t="shared" si="54"/>
        <v>0</v>
      </c>
      <c r="E177" s="283">
        <f t="shared" si="54"/>
        <v>0</v>
      </c>
      <c r="F177" s="284"/>
      <c r="G177" s="285">
        <f t="shared" si="55"/>
        <v>0</v>
      </c>
      <c r="H177" s="285">
        <f t="shared" si="56"/>
        <v>0</v>
      </c>
      <c r="I177" s="283">
        <f t="shared" si="56"/>
        <v>0</v>
      </c>
    </row>
    <row r="178" spans="1:9" x14ac:dyDescent="0.25">
      <c r="A178" s="213" t="s">
        <v>134</v>
      </c>
      <c r="B178" s="268">
        <v>0</v>
      </c>
      <c r="C178" s="269">
        <f t="shared" si="53"/>
        <v>0</v>
      </c>
      <c r="D178" s="270">
        <f t="shared" si="54"/>
        <v>0</v>
      </c>
      <c r="E178" s="271">
        <f t="shared" si="54"/>
        <v>0</v>
      </c>
      <c r="F178" s="272">
        <v>0</v>
      </c>
      <c r="G178" s="273">
        <f t="shared" si="55"/>
        <v>0</v>
      </c>
      <c r="H178" s="273">
        <f t="shared" si="56"/>
        <v>0</v>
      </c>
      <c r="I178" s="271">
        <f t="shared" si="56"/>
        <v>0</v>
      </c>
    </row>
    <row r="179" spans="1:9" x14ac:dyDescent="0.25">
      <c r="A179" s="213" t="s">
        <v>135</v>
      </c>
      <c r="B179" s="268">
        <v>1000</v>
      </c>
      <c r="C179" s="269">
        <f t="shared" si="53"/>
        <v>41.666666666666664</v>
      </c>
      <c r="D179" s="270">
        <f t="shared" si="54"/>
        <v>93.896713615023472</v>
      </c>
      <c r="E179" s="271">
        <f t="shared" si="54"/>
        <v>3.9123630672926444</v>
      </c>
      <c r="F179" s="272"/>
      <c r="G179" s="273">
        <f t="shared" si="55"/>
        <v>0</v>
      </c>
      <c r="H179" s="273">
        <f t="shared" si="56"/>
        <v>0</v>
      </c>
      <c r="I179" s="271">
        <f t="shared" si="56"/>
        <v>0</v>
      </c>
    </row>
    <row r="180" spans="1:9" x14ac:dyDescent="0.25">
      <c r="A180" s="213" t="s">
        <v>136</v>
      </c>
      <c r="B180" s="268"/>
      <c r="C180" s="269">
        <f t="shared" si="53"/>
        <v>0</v>
      </c>
      <c r="D180" s="270">
        <f t="shared" si="54"/>
        <v>0</v>
      </c>
      <c r="E180" s="271">
        <f t="shared" si="54"/>
        <v>0</v>
      </c>
      <c r="F180" s="272"/>
      <c r="G180" s="273">
        <f t="shared" si="55"/>
        <v>0</v>
      </c>
      <c r="H180" s="273">
        <f t="shared" si="56"/>
        <v>0</v>
      </c>
      <c r="I180" s="271">
        <f t="shared" si="56"/>
        <v>0</v>
      </c>
    </row>
    <row r="181" spans="1:9" x14ac:dyDescent="0.25">
      <c r="A181" s="213" t="s">
        <v>137</v>
      </c>
      <c r="B181" s="268"/>
      <c r="C181" s="269">
        <f t="shared" si="53"/>
        <v>0</v>
      </c>
      <c r="D181" s="270">
        <f t="shared" si="54"/>
        <v>0</v>
      </c>
      <c r="E181" s="271">
        <f t="shared" si="54"/>
        <v>0</v>
      </c>
      <c r="F181" s="272"/>
      <c r="G181" s="273">
        <f t="shared" si="55"/>
        <v>0</v>
      </c>
      <c r="H181" s="273">
        <f t="shared" si="56"/>
        <v>0</v>
      </c>
      <c r="I181" s="271">
        <f t="shared" si="56"/>
        <v>0</v>
      </c>
    </row>
    <row r="182" spans="1:9" ht="17.25" thickBot="1" x14ac:dyDescent="0.3">
      <c r="A182" s="225" t="s">
        <v>139</v>
      </c>
      <c r="B182" s="286"/>
      <c r="C182" s="287">
        <f t="shared" si="53"/>
        <v>0</v>
      </c>
      <c r="D182" s="288">
        <f t="shared" si="54"/>
        <v>0</v>
      </c>
      <c r="E182" s="289">
        <f t="shared" si="54"/>
        <v>0</v>
      </c>
      <c r="F182" s="290"/>
      <c r="G182" s="291">
        <f t="shared" si="55"/>
        <v>0</v>
      </c>
      <c r="H182" s="291">
        <f t="shared" si="56"/>
        <v>0</v>
      </c>
      <c r="I182" s="289">
        <f t="shared" si="56"/>
        <v>0</v>
      </c>
    </row>
    <row r="183" spans="1:9" ht="17.25" thickBot="1" x14ac:dyDescent="0.3">
      <c r="A183" s="202" t="s">
        <v>26</v>
      </c>
      <c r="B183" s="504"/>
      <c r="C183" s="505"/>
      <c r="D183" s="505"/>
      <c r="E183" s="505"/>
      <c r="F183" s="505"/>
      <c r="G183" s="505"/>
      <c r="H183" s="505"/>
      <c r="I183" s="506"/>
    </row>
    <row r="184" spans="1:9" ht="17.25" thickBot="1" x14ac:dyDescent="0.3">
      <c r="A184" s="203" t="s">
        <v>122</v>
      </c>
      <c r="B184" s="238">
        <v>1000</v>
      </c>
      <c r="C184" s="243">
        <f t="shared" ref="C184:C195" si="57">B184/$N$1</f>
        <v>41.666666666666664</v>
      </c>
      <c r="D184" s="244">
        <f t="shared" ref="D184:E195" si="58">B184/10.65</f>
        <v>93.896713615023472</v>
      </c>
      <c r="E184" s="207">
        <f t="shared" si="58"/>
        <v>3.9123630672926444</v>
      </c>
      <c r="F184" s="238">
        <v>1000</v>
      </c>
      <c r="G184" s="206">
        <f t="shared" ref="G184:G195" si="59">F184/$N$1</f>
        <v>41.666666666666664</v>
      </c>
      <c r="H184" s="206">
        <f t="shared" ref="H184:I195" si="60">F184/10.65</f>
        <v>93.896713615023472</v>
      </c>
      <c r="I184" s="207">
        <f t="shared" si="60"/>
        <v>3.9123630672926444</v>
      </c>
    </row>
    <row r="185" spans="1:9" x14ac:dyDescent="0.25">
      <c r="A185" s="213" t="s">
        <v>124</v>
      </c>
      <c r="B185" s="248"/>
      <c r="C185" s="249">
        <f t="shared" si="57"/>
        <v>0</v>
      </c>
      <c r="D185" s="250">
        <f t="shared" si="58"/>
        <v>0</v>
      </c>
      <c r="E185" s="217">
        <f t="shared" si="58"/>
        <v>0</v>
      </c>
      <c r="F185" s="251"/>
      <c r="G185" s="216">
        <f t="shared" si="59"/>
        <v>0</v>
      </c>
      <c r="H185" s="216">
        <f t="shared" si="60"/>
        <v>0</v>
      </c>
      <c r="I185" s="217">
        <f t="shared" si="60"/>
        <v>0</v>
      </c>
    </row>
    <row r="186" spans="1:9" x14ac:dyDescent="0.25">
      <c r="A186" s="213" t="s">
        <v>126</v>
      </c>
      <c r="B186" s="248"/>
      <c r="C186" s="249">
        <f t="shared" si="57"/>
        <v>0</v>
      </c>
      <c r="D186" s="250">
        <f t="shared" si="58"/>
        <v>0</v>
      </c>
      <c r="E186" s="217">
        <f t="shared" si="58"/>
        <v>0</v>
      </c>
      <c r="F186" s="251"/>
      <c r="G186" s="216">
        <f t="shared" si="59"/>
        <v>0</v>
      </c>
      <c r="H186" s="216">
        <f t="shared" si="60"/>
        <v>0</v>
      </c>
      <c r="I186" s="217">
        <f t="shared" si="60"/>
        <v>0</v>
      </c>
    </row>
    <row r="187" spans="1:9" x14ac:dyDescent="0.25">
      <c r="A187" s="213" t="s">
        <v>128</v>
      </c>
      <c r="B187" s="248"/>
      <c r="C187" s="249">
        <f t="shared" si="57"/>
        <v>0</v>
      </c>
      <c r="D187" s="250">
        <f t="shared" si="58"/>
        <v>0</v>
      </c>
      <c r="E187" s="217">
        <f t="shared" si="58"/>
        <v>0</v>
      </c>
      <c r="F187" s="251"/>
      <c r="G187" s="216">
        <f t="shared" si="59"/>
        <v>0</v>
      </c>
      <c r="H187" s="216">
        <f t="shared" si="60"/>
        <v>0</v>
      </c>
      <c r="I187" s="217">
        <f t="shared" si="60"/>
        <v>0</v>
      </c>
    </row>
    <row r="188" spans="1:9" ht="17.25" thickBot="1" x14ac:dyDescent="0.3">
      <c r="A188" s="218" t="s">
        <v>129</v>
      </c>
      <c r="B188" s="252">
        <v>1000</v>
      </c>
      <c r="C188" s="253">
        <f t="shared" si="57"/>
        <v>41.666666666666664</v>
      </c>
      <c r="D188" s="254">
        <f t="shared" si="58"/>
        <v>93.896713615023472</v>
      </c>
      <c r="E188" s="222">
        <f t="shared" si="58"/>
        <v>3.9123630672926444</v>
      </c>
      <c r="F188" s="255">
        <v>1000</v>
      </c>
      <c r="G188" s="221">
        <f t="shared" si="59"/>
        <v>41.666666666666664</v>
      </c>
      <c r="H188" s="221">
        <f t="shared" si="60"/>
        <v>93.896713615023472</v>
      </c>
      <c r="I188" s="222">
        <f t="shared" si="60"/>
        <v>3.9123630672926444</v>
      </c>
    </row>
    <row r="189" spans="1:9" ht="17.25" thickBot="1" x14ac:dyDescent="0.3">
      <c r="A189" s="223" t="s">
        <v>132</v>
      </c>
      <c r="B189" s="240">
        <v>1000</v>
      </c>
      <c r="C189" s="256">
        <f t="shared" si="57"/>
        <v>41.666666666666664</v>
      </c>
      <c r="D189" s="257">
        <f t="shared" si="58"/>
        <v>93.896713615023472</v>
      </c>
      <c r="E189" s="233">
        <f t="shared" si="58"/>
        <v>3.9123630672926444</v>
      </c>
      <c r="F189" s="240">
        <v>0</v>
      </c>
      <c r="G189" s="232">
        <f t="shared" si="59"/>
        <v>0</v>
      </c>
      <c r="H189" s="232">
        <f t="shared" si="60"/>
        <v>0</v>
      </c>
      <c r="I189" s="233">
        <f t="shared" si="60"/>
        <v>0</v>
      </c>
    </row>
    <row r="190" spans="1:9" x14ac:dyDescent="0.25">
      <c r="A190" s="208" t="s">
        <v>133</v>
      </c>
      <c r="B190" s="245"/>
      <c r="C190" s="246">
        <f t="shared" si="57"/>
        <v>0</v>
      </c>
      <c r="D190" s="247">
        <f t="shared" si="58"/>
        <v>0</v>
      </c>
      <c r="E190" s="212">
        <f t="shared" si="58"/>
        <v>0</v>
      </c>
      <c r="F190" s="239"/>
      <c r="G190" s="211">
        <f t="shared" si="59"/>
        <v>0</v>
      </c>
      <c r="H190" s="211">
        <f t="shared" si="60"/>
        <v>0</v>
      </c>
      <c r="I190" s="212">
        <f t="shared" si="60"/>
        <v>0</v>
      </c>
    </row>
    <row r="191" spans="1:9" x14ac:dyDescent="0.25">
      <c r="A191" s="213" t="s">
        <v>134</v>
      </c>
      <c r="B191" s="248">
        <v>0</v>
      </c>
      <c r="C191" s="249">
        <f t="shared" si="57"/>
        <v>0</v>
      </c>
      <c r="D191" s="250">
        <f t="shared" si="58"/>
        <v>0</v>
      </c>
      <c r="E191" s="217">
        <f t="shared" si="58"/>
        <v>0</v>
      </c>
      <c r="F191" s="251">
        <v>0</v>
      </c>
      <c r="G191" s="216">
        <f t="shared" si="59"/>
        <v>0</v>
      </c>
      <c r="H191" s="216">
        <f t="shared" si="60"/>
        <v>0</v>
      </c>
      <c r="I191" s="217">
        <f t="shared" si="60"/>
        <v>0</v>
      </c>
    </row>
    <row r="192" spans="1:9" x14ac:dyDescent="0.25">
      <c r="A192" s="213" t="s">
        <v>135</v>
      </c>
      <c r="B192" s="248">
        <v>1000</v>
      </c>
      <c r="C192" s="249">
        <f t="shared" si="57"/>
        <v>41.666666666666664</v>
      </c>
      <c r="D192" s="250">
        <f t="shared" si="58"/>
        <v>93.896713615023472</v>
      </c>
      <c r="E192" s="217">
        <f t="shared" si="58"/>
        <v>3.9123630672926444</v>
      </c>
      <c r="F192" s="251"/>
      <c r="G192" s="216">
        <f t="shared" si="59"/>
        <v>0</v>
      </c>
      <c r="H192" s="216">
        <f t="shared" si="60"/>
        <v>0</v>
      </c>
      <c r="I192" s="217">
        <f t="shared" si="60"/>
        <v>0</v>
      </c>
    </row>
    <row r="193" spans="1:9" x14ac:dyDescent="0.25">
      <c r="A193" s="213" t="s">
        <v>136</v>
      </c>
      <c r="B193" s="248"/>
      <c r="C193" s="249">
        <f t="shared" si="57"/>
        <v>0</v>
      </c>
      <c r="D193" s="250">
        <f t="shared" si="58"/>
        <v>0</v>
      </c>
      <c r="E193" s="217">
        <f t="shared" si="58"/>
        <v>0</v>
      </c>
      <c r="F193" s="251"/>
      <c r="G193" s="216">
        <f t="shared" si="59"/>
        <v>0</v>
      </c>
      <c r="H193" s="216">
        <f t="shared" si="60"/>
        <v>0</v>
      </c>
      <c r="I193" s="217">
        <f t="shared" si="60"/>
        <v>0</v>
      </c>
    </row>
    <row r="194" spans="1:9" x14ac:dyDescent="0.25">
      <c r="A194" s="213" t="s">
        <v>137</v>
      </c>
      <c r="B194" s="248"/>
      <c r="C194" s="249">
        <f t="shared" si="57"/>
        <v>0</v>
      </c>
      <c r="D194" s="250">
        <f t="shared" si="58"/>
        <v>0</v>
      </c>
      <c r="E194" s="217">
        <f t="shared" si="58"/>
        <v>0</v>
      </c>
      <c r="F194" s="251"/>
      <c r="G194" s="216">
        <f t="shared" si="59"/>
        <v>0</v>
      </c>
      <c r="H194" s="216">
        <f t="shared" si="60"/>
        <v>0</v>
      </c>
      <c r="I194" s="217">
        <f t="shared" si="60"/>
        <v>0</v>
      </c>
    </row>
    <row r="195" spans="1:9" ht="17.25" thickBot="1" x14ac:dyDescent="0.3">
      <c r="A195" s="225" t="s">
        <v>139</v>
      </c>
      <c r="B195" s="258"/>
      <c r="C195" s="259">
        <f t="shared" si="57"/>
        <v>0</v>
      </c>
      <c r="D195" s="260">
        <f t="shared" si="58"/>
        <v>0</v>
      </c>
      <c r="E195" s="229">
        <f t="shared" si="58"/>
        <v>0</v>
      </c>
      <c r="F195" s="261"/>
      <c r="G195" s="228">
        <f t="shared" si="59"/>
        <v>0</v>
      </c>
      <c r="H195" s="228">
        <f t="shared" si="60"/>
        <v>0</v>
      </c>
      <c r="I195" s="229">
        <f t="shared" si="60"/>
        <v>0</v>
      </c>
    </row>
    <row r="196" spans="1:9" ht="17.25" thickBot="1" x14ac:dyDescent="0.3">
      <c r="A196" s="202" t="s">
        <v>27</v>
      </c>
      <c r="B196" s="504"/>
      <c r="C196" s="505"/>
      <c r="D196" s="505"/>
      <c r="E196" s="505"/>
      <c r="F196" s="505"/>
      <c r="G196" s="505"/>
      <c r="H196" s="505"/>
      <c r="I196" s="506"/>
    </row>
    <row r="197" spans="1:9" ht="17.25" thickBot="1" x14ac:dyDescent="0.3">
      <c r="A197" s="203" t="s">
        <v>122</v>
      </c>
      <c r="B197" s="238">
        <v>1000</v>
      </c>
      <c r="C197" s="243">
        <f t="shared" ref="C197:C208" si="61">B197/$N$1</f>
        <v>41.666666666666664</v>
      </c>
      <c r="D197" s="244">
        <f t="shared" ref="D197:E208" si="62">B197/10.65</f>
        <v>93.896713615023472</v>
      </c>
      <c r="E197" s="207">
        <f t="shared" si="62"/>
        <v>3.9123630672926444</v>
      </c>
      <c r="F197" s="238">
        <v>1000</v>
      </c>
      <c r="G197" s="206">
        <f t="shared" ref="G197:G208" si="63">F197/$N$1</f>
        <v>41.666666666666664</v>
      </c>
      <c r="H197" s="206">
        <f t="shared" ref="H197:I208" si="64">F197/10.65</f>
        <v>93.896713615023472</v>
      </c>
      <c r="I197" s="207">
        <f t="shared" si="64"/>
        <v>3.9123630672926444</v>
      </c>
    </row>
    <row r="198" spans="1:9" x14ac:dyDescent="0.25">
      <c r="A198" s="213" t="s">
        <v>124</v>
      </c>
      <c r="B198" s="248"/>
      <c r="C198" s="249">
        <f t="shared" si="61"/>
        <v>0</v>
      </c>
      <c r="D198" s="250">
        <f t="shared" si="62"/>
        <v>0</v>
      </c>
      <c r="E198" s="217">
        <f t="shared" si="62"/>
        <v>0</v>
      </c>
      <c r="F198" s="251"/>
      <c r="G198" s="216">
        <f t="shared" si="63"/>
        <v>0</v>
      </c>
      <c r="H198" s="216">
        <f t="shared" si="64"/>
        <v>0</v>
      </c>
      <c r="I198" s="217">
        <f t="shared" si="64"/>
        <v>0</v>
      </c>
    </row>
    <row r="199" spans="1:9" x14ac:dyDescent="0.25">
      <c r="A199" s="213" t="s">
        <v>126</v>
      </c>
      <c r="B199" s="248"/>
      <c r="C199" s="249">
        <f t="shared" si="61"/>
        <v>0</v>
      </c>
      <c r="D199" s="250">
        <f t="shared" si="62"/>
        <v>0</v>
      </c>
      <c r="E199" s="217">
        <f t="shared" si="62"/>
        <v>0</v>
      </c>
      <c r="F199" s="251"/>
      <c r="G199" s="216">
        <f t="shared" si="63"/>
        <v>0</v>
      </c>
      <c r="H199" s="216">
        <f t="shared" si="64"/>
        <v>0</v>
      </c>
      <c r="I199" s="217">
        <f t="shared" si="64"/>
        <v>0</v>
      </c>
    </row>
    <row r="200" spans="1:9" x14ac:dyDescent="0.25">
      <c r="A200" s="213" t="s">
        <v>128</v>
      </c>
      <c r="B200" s="248"/>
      <c r="C200" s="249">
        <f t="shared" si="61"/>
        <v>0</v>
      </c>
      <c r="D200" s="250">
        <f t="shared" si="62"/>
        <v>0</v>
      </c>
      <c r="E200" s="217">
        <f t="shared" si="62"/>
        <v>0</v>
      </c>
      <c r="F200" s="251"/>
      <c r="G200" s="216">
        <f t="shared" si="63"/>
        <v>0</v>
      </c>
      <c r="H200" s="216">
        <f t="shared" si="64"/>
        <v>0</v>
      </c>
      <c r="I200" s="217">
        <f t="shared" si="64"/>
        <v>0</v>
      </c>
    </row>
    <row r="201" spans="1:9" ht="17.25" thickBot="1" x14ac:dyDescent="0.3">
      <c r="A201" s="218" t="s">
        <v>129</v>
      </c>
      <c r="B201" s="252">
        <v>1000</v>
      </c>
      <c r="C201" s="253">
        <f t="shared" si="61"/>
        <v>41.666666666666664</v>
      </c>
      <c r="D201" s="254">
        <f t="shared" si="62"/>
        <v>93.896713615023472</v>
      </c>
      <c r="E201" s="222">
        <f t="shared" si="62"/>
        <v>3.9123630672926444</v>
      </c>
      <c r="F201" s="255">
        <v>1000</v>
      </c>
      <c r="G201" s="221">
        <f t="shared" si="63"/>
        <v>41.666666666666664</v>
      </c>
      <c r="H201" s="221">
        <f t="shared" si="64"/>
        <v>93.896713615023472</v>
      </c>
      <c r="I201" s="222">
        <f t="shared" si="64"/>
        <v>3.9123630672926444</v>
      </c>
    </row>
    <row r="202" spans="1:9" ht="17.25" thickBot="1" x14ac:dyDescent="0.3">
      <c r="A202" s="223" t="s">
        <v>132</v>
      </c>
      <c r="B202" s="238">
        <v>1000</v>
      </c>
      <c r="C202" s="243">
        <f t="shared" si="61"/>
        <v>41.666666666666664</v>
      </c>
      <c r="D202" s="244">
        <f t="shared" si="62"/>
        <v>93.896713615023472</v>
      </c>
      <c r="E202" s="207">
        <f t="shared" si="62"/>
        <v>3.9123630672926444</v>
      </c>
      <c r="F202" s="238">
        <v>0</v>
      </c>
      <c r="G202" s="206">
        <f t="shared" si="63"/>
        <v>0</v>
      </c>
      <c r="H202" s="206">
        <f t="shared" si="64"/>
        <v>0</v>
      </c>
      <c r="I202" s="207">
        <f t="shared" si="64"/>
        <v>0</v>
      </c>
    </row>
    <row r="203" spans="1:9" x14ac:dyDescent="0.25">
      <c r="A203" s="208" t="s">
        <v>133</v>
      </c>
      <c r="B203" s="245"/>
      <c r="C203" s="246">
        <f t="shared" si="61"/>
        <v>0</v>
      </c>
      <c r="D203" s="247">
        <f t="shared" si="62"/>
        <v>0</v>
      </c>
      <c r="E203" s="212">
        <f t="shared" si="62"/>
        <v>0</v>
      </c>
      <c r="F203" s="239"/>
      <c r="G203" s="211">
        <f t="shared" si="63"/>
        <v>0</v>
      </c>
      <c r="H203" s="211">
        <f t="shared" si="64"/>
        <v>0</v>
      </c>
      <c r="I203" s="212">
        <f t="shared" si="64"/>
        <v>0</v>
      </c>
    </row>
    <row r="204" spans="1:9" x14ac:dyDescent="0.25">
      <c r="A204" s="213" t="s">
        <v>134</v>
      </c>
      <c r="B204" s="248">
        <v>0</v>
      </c>
      <c r="C204" s="249">
        <f t="shared" si="61"/>
        <v>0</v>
      </c>
      <c r="D204" s="250">
        <f t="shared" si="62"/>
        <v>0</v>
      </c>
      <c r="E204" s="217">
        <f t="shared" si="62"/>
        <v>0</v>
      </c>
      <c r="F204" s="251">
        <v>0</v>
      </c>
      <c r="G204" s="216">
        <f t="shared" si="63"/>
        <v>0</v>
      </c>
      <c r="H204" s="216">
        <f t="shared" si="64"/>
        <v>0</v>
      </c>
      <c r="I204" s="217">
        <f t="shared" si="64"/>
        <v>0</v>
      </c>
    </row>
    <row r="205" spans="1:9" x14ac:dyDescent="0.25">
      <c r="A205" s="213" t="s">
        <v>135</v>
      </c>
      <c r="B205" s="248">
        <v>1000</v>
      </c>
      <c r="C205" s="249">
        <f t="shared" si="61"/>
        <v>41.666666666666664</v>
      </c>
      <c r="D205" s="250">
        <f t="shared" si="62"/>
        <v>93.896713615023472</v>
      </c>
      <c r="E205" s="217">
        <f t="shared" si="62"/>
        <v>3.9123630672926444</v>
      </c>
      <c r="F205" s="251"/>
      <c r="G205" s="216">
        <f t="shared" si="63"/>
        <v>0</v>
      </c>
      <c r="H205" s="216">
        <f t="shared" si="64"/>
        <v>0</v>
      </c>
      <c r="I205" s="217">
        <f t="shared" si="64"/>
        <v>0</v>
      </c>
    </row>
    <row r="206" spans="1:9" x14ac:dyDescent="0.25">
      <c r="A206" s="213" t="s">
        <v>136</v>
      </c>
      <c r="B206" s="248"/>
      <c r="C206" s="249">
        <f t="shared" si="61"/>
        <v>0</v>
      </c>
      <c r="D206" s="250">
        <f t="shared" si="62"/>
        <v>0</v>
      </c>
      <c r="E206" s="217">
        <f t="shared" si="62"/>
        <v>0</v>
      </c>
      <c r="F206" s="251"/>
      <c r="G206" s="216">
        <f t="shared" si="63"/>
        <v>0</v>
      </c>
      <c r="H206" s="216">
        <f t="shared" si="64"/>
        <v>0</v>
      </c>
      <c r="I206" s="217">
        <f t="shared" si="64"/>
        <v>0</v>
      </c>
    </row>
    <row r="207" spans="1:9" x14ac:dyDescent="0.25">
      <c r="A207" s="213" t="s">
        <v>137</v>
      </c>
      <c r="B207" s="248"/>
      <c r="C207" s="249">
        <f t="shared" si="61"/>
        <v>0</v>
      </c>
      <c r="D207" s="250">
        <f t="shared" si="62"/>
        <v>0</v>
      </c>
      <c r="E207" s="217">
        <f t="shared" si="62"/>
        <v>0</v>
      </c>
      <c r="F207" s="251"/>
      <c r="G207" s="216">
        <f t="shared" si="63"/>
        <v>0</v>
      </c>
      <c r="H207" s="216">
        <f t="shared" si="64"/>
        <v>0</v>
      </c>
      <c r="I207" s="217">
        <f t="shared" si="64"/>
        <v>0</v>
      </c>
    </row>
    <row r="208" spans="1:9" ht="17.25" thickBot="1" x14ac:dyDescent="0.3">
      <c r="A208" s="225" t="s">
        <v>139</v>
      </c>
      <c r="B208" s="258"/>
      <c r="C208" s="259">
        <f t="shared" si="61"/>
        <v>0</v>
      </c>
      <c r="D208" s="260">
        <f t="shared" si="62"/>
        <v>0</v>
      </c>
      <c r="E208" s="229">
        <f t="shared" si="62"/>
        <v>0</v>
      </c>
      <c r="F208" s="261"/>
      <c r="G208" s="228">
        <f t="shared" si="63"/>
        <v>0</v>
      </c>
      <c r="H208" s="228">
        <f t="shared" si="64"/>
        <v>0</v>
      </c>
      <c r="I208" s="229">
        <f t="shared" si="64"/>
        <v>0</v>
      </c>
    </row>
    <row r="209" spans="1:9" ht="17.25" thickBot="1" x14ac:dyDescent="0.3">
      <c r="A209" s="202" t="s">
        <v>28</v>
      </c>
      <c r="B209" s="504"/>
      <c r="C209" s="505"/>
      <c r="D209" s="505"/>
      <c r="E209" s="505"/>
      <c r="F209" s="505"/>
      <c r="G209" s="505"/>
      <c r="H209" s="505"/>
      <c r="I209" s="506"/>
    </row>
    <row r="210" spans="1:9" ht="17.25" thickBot="1" x14ac:dyDescent="0.3">
      <c r="A210" s="203" t="s">
        <v>122</v>
      </c>
      <c r="B210" s="238">
        <v>1000</v>
      </c>
      <c r="C210" s="243">
        <f t="shared" ref="C210:C221" si="65">B210/$N$1</f>
        <v>41.666666666666664</v>
      </c>
      <c r="D210" s="244">
        <f t="shared" ref="D210:E221" si="66">B210/10.65</f>
        <v>93.896713615023472</v>
      </c>
      <c r="E210" s="207">
        <f t="shared" si="66"/>
        <v>3.9123630672926444</v>
      </c>
      <c r="F210" s="238">
        <v>1000</v>
      </c>
      <c r="G210" s="206">
        <f t="shared" ref="G210:G221" si="67">F210/$N$1</f>
        <v>41.666666666666664</v>
      </c>
      <c r="H210" s="206">
        <f t="shared" ref="H210:I221" si="68">F210/10.65</f>
        <v>93.896713615023472</v>
      </c>
      <c r="I210" s="207">
        <f t="shared" si="68"/>
        <v>3.9123630672926444</v>
      </c>
    </row>
    <row r="211" spans="1:9" x14ac:dyDescent="0.25">
      <c r="A211" s="213" t="s">
        <v>124</v>
      </c>
      <c r="B211" s="248"/>
      <c r="C211" s="249">
        <f t="shared" si="65"/>
        <v>0</v>
      </c>
      <c r="D211" s="250">
        <f t="shared" si="66"/>
        <v>0</v>
      </c>
      <c r="E211" s="217">
        <f t="shared" si="66"/>
        <v>0</v>
      </c>
      <c r="F211" s="251"/>
      <c r="G211" s="216">
        <f t="shared" si="67"/>
        <v>0</v>
      </c>
      <c r="H211" s="216">
        <f t="shared" si="68"/>
        <v>0</v>
      </c>
      <c r="I211" s="217">
        <f t="shared" si="68"/>
        <v>0</v>
      </c>
    </row>
    <row r="212" spans="1:9" x14ac:dyDescent="0.25">
      <c r="A212" s="213" t="s">
        <v>126</v>
      </c>
      <c r="B212" s="248"/>
      <c r="C212" s="249">
        <f t="shared" si="65"/>
        <v>0</v>
      </c>
      <c r="D212" s="250">
        <f t="shared" si="66"/>
        <v>0</v>
      </c>
      <c r="E212" s="217">
        <f t="shared" si="66"/>
        <v>0</v>
      </c>
      <c r="F212" s="251"/>
      <c r="G212" s="216">
        <f t="shared" si="67"/>
        <v>0</v>
      </c>
      <c r="H212" s="216">
        <f t="shared" si="68"/>
        <v>0</v>
      </c>
      <c r="I212" s="217">
        <f t="shared" si="68"/>
        <v>0</v>
      </c>
    </row>
    <row r="213" spans="1:9" x14ac:dyDescent="0.25">
      <c r="A213" s="213" t="s">
        <v>128</v>
      </c>
      <c r="B213" s="248"/>
      <c r="C213" s="249">
        <f t="shared" si="65"/>
        <v>0</v>
      </c>
      <c r="D213" s="250">
        <f t="shared" si="66"/>
        <v>0</v>
      </c>
      <c r="E213" s="217">
        <f t="shared" si="66"/>
        <v>0</v>
      </c>
      <c r="F213" s="251"/>
      <c r="G213" s="216">
        <f t="shared" si="67"/>
        <v>0</v>
      </c>
      <c r="H213" s="216">
        <f t="shared" si="68"/>
        <v>0</v>
      </c>
      <c r="I213" s="217">
        <f t="shared" si="68"/>
        <v>0</v>
      </c>
    </row>
    <row r="214" spans="1:9" ht="17.25" thickBot="1" x14ac:dyDescent="0.3">
      <c r="A214" s="218" t="s">
        <v>129</v>
      </c>
      <c r="B214" s="252">
        <v>1000</v>
      </c>
      <c r="C214" s="253">
        <f t="shared" si="65"/>
        <v>41.666666666666664</v>
      </c>
      <c r="D214" s="254">
        <f t="shared" si="66"/>
        <v>93.896713615023472</v>
      </c>
      <c r="E214" s="222">
        <f t="shared" si="66"/>
        <v>3.9123630672926444</v>
      </c>
      <c r="F214" s="255">
        <v>1000</v>
      </c>
      <c r="G214" s="221">
        <f t="shared" si="67"/>
        <v>41.666666666666664</v>
      </c>
      <c r="H214" s="221">
        <f t="shared" si="68"/>
        <v>93.896713615023472</v>
      </c>
      <c r="I214" s="222">
        <f t="shared" si="68"/>
        <v>3.9123630672926444</v>
      </c>
    </row>
    <row r="215" spans="1:9" ht="17.25" thickBot="1" x14ac:dyDescent="0.3">
      <c r="A215" s="223" t="s">
        <v>132</v>
      </c>
      <c r="B215" s="292">
        <v>1000</v>
      </c>
      <c r="C215" s="256">
        <f t="shared" si="65"/>
        <v>41.666666666666664</v>
      </c>
      <c r="D215" s="257">
        <f t="shared" si="66"/>
        <v>93.896713615023472</v>
      </c>
      <c r="E215" s="233">
        <f t="shared" si="66"/>
        <v>3.9123630672926444</v>
      </c>
      <c r="F215" s="240">
        <v>0</v>
      </c>
      <c r="G215" s="232">
        <f t="shared" si="67"/>
        <v>0</v>
      </c>
      <c r="H215" s="232">
        <f t="shared" si="68"/>
        <v>0</v>
      </c>
      <c r="I215" s="233">
        <f t="shared" si="68"/>
        <v>0</v>
      </c>
    </row>
    <row r="216" spans="1:9" x14ac:dyDescent="0.25">
      <c r="A216" s="208" t="s">
        <v>133</v>
      </c>
      <c r="B216" s="245"/>
      <c r="C216" s="246">
        <f t="shared" si="65"/>
        <v>0</v>
      </c>
      <c r="D216" s="247">
        <f t="shared" si="66"/>
        <v>0</v>
      </c>
      <c r="E216" s="212">
        <f t="shared" si="66"/>
        <v>0</v>
      </c>
      <c r="F216" s="239"/>
      <c r="G216" s="211">
        <f t="shared" si="67"/>
        <v>0</v>
      </c>
      <c r="H216" s="211">
        <f t="shared" si="68"/>
        <v>0</v>
      </c>
      <c r="I216" s="212">
        <f t="shared" si="68"/>
        <v>0</v>
      </c>
    </row>
    <row r="217" spans="1:9" x14ac:dyDescent="0.25">
      <c r="A217" s="213" t="s">
        <v>134</v>
      </c>
      <c r="B217" s="248">
        <v>0</v>
      </c>
      <c r="C217" s="249">
        <f t="shared" si="65"/>
        <v>0</v>
      </c>
      <c r="D217" s="250">
        <f t="shared" si="66"/>
        <v>0</v>
      </c>
      <c r="E217" s="217">
        <f t="shared" si="66"/>
        <v>0</v>
      </c>
      <c r="F217" s="251">
        <v>0</v>
      </c>
      <c r="G217" s="216">
        <f t="shared" si="67"/>
        <v>0</v>
      </c>
      <c r="H217" s="216">
        <f t="shared" si="68"/>
        <v>0</v>
      </c>
      <c r="I217" s="217">
        <f t="shared" si="68"/>
        <v>0</v>
      </c>
    </row>
    <row r="218" spans="1:9" x14ac:dyDescent="0.25">
      <c r="A218" s="213" t="s">
        <v>135</v>
      </c>
      <c r="B218" s="248">
        <v>1000</v>
      </c>
      <c r="C218" s="249">
        <f t="shared" si="65"/>
        <v>41.666666666666664</v>
      </c>
      <c r="D218" s="250">
        <f t="shared" si="66"/>
        <v>93.896713615023472</v>
      </c>
      <c r="E218" s="217">
        <f t="shared" si="66"/>
        <v>3.9123630672926444</v>
      </c>
      <c r="F218" s="251"/>
      <c r="G218" s="216">
        <f t="shared" si="67"/>
        <v>0</v>
      </c>
      <c r="H218" s="216">
        <f t="shared" si="68"/>
        <v>0</v>
      </c>
      <c r="I218" s="217">
        <f t="shared" si="68"/>
        <v>0</v>
      </c>
    </row>
    <row r="219" spans="1:9" x14ac:dyDescent="0.25">
      <c r="A219" s="213" t="s">
        <v>136</v>
      </c>
      <c r="B219" s="248"/>
      <c r="C219" s="249">
        <f t="shared" si="65"/>
        <v>0</v>
      </c>
      <c r="D219" s="250">
        <f t="shared" si="66"/>
        <v>0</v>
      </c>
      <c r="E219" s="217">
        <f t="shared" si="66"/>
        <v>0</v>
      </c>
      <c r="F219" s="251"/>
      <c r="G219" s="216">
        <f t="shared" si="67"/>
        <v>0</v>
      </c>
      <c r="H219" s="216">
        <f t="shared" si="68"/>
        <v>0</v>
      </c>
      <c r="I219" s="217">
        <f t="shared" si="68"/>
        <v>0</v>
      </c>
    </row>
    <row r="220" spans="1:9" x14ac:dyDescent="0.25">
      <c r="A220" s="213" t="s">
        <v>137</v>
      </c>
      <c r="B220" s="248"/>
      <c r="C220" s="249">
        <f t="shared" si="65"/>
        <v>0</v>
      </c>
      <c r="D220" s="250">
        <f t="shared" si="66"/>
        <v>0</v>
      </c>
      <c r="E220" s="217">
        <f t="shared" si="66"/>
        <v>0</v>
      </c>
      <c r="F220" s="251"/>
      <c r="G220" s="216">
        <f t="shared" si="67"/>
        <v>0</v>
      </c>
      <c r="H220" s="216">
        <f t="shared" si="68"/>
        <v>0</v>
      </c>
      <c r="I220" s="217">
        <f t="shared" si="68"/>
        <v>0</v>
      </c>
    </row>
    <row r="221" spans="1:9" ht="17.25" thickBot="1" x14ac:dyDescent="0.3">
      <c r="A221" s="218" t="s">
        <v>139</v>
      </c>
      <c r="B221" s="258"/>
      <c r="C221" s="259">
        <f t="shared" si="65"/>
        <v>0</v>
      </c>
      <c r="D221" s="260">
        <f t="shared" si="66"/>
        <v>0</v>
      </c>
      <c r="E221" s="229">
        <f t="shared" si="66"/>
        <v>0</v>
      </c>
      <c r="F221" s="261"/>
      <c r="G221" s="228">
        <f t="shared" si="67"/>
        <v>0</v>
      </c>
      <c r="H221" s="228">
        <f t="shared" si="68"/>
        <v>0</v>
      </c>
      <c r="I221" s="229">
        <f t="shared" si="68"/>
        <v>0</v>
      </c>
    </row>
    <row r="222" spans="1:9" ht="17.25" thickBot="1" x14ac:dyDescent="0.3">
      <c r="A222" s="293" t="s">
        <v>29</v>
      </c>
      <c r="B222" s="507"/>
      <c r="C222" s="505"/>
      <c r="D222" s="505"/>
      <c r="E222" s="505"/>
      <c r="F222" s="505"/>
      <c r="G222" s="505"/>
      <c r="H222" s="505"/>
      <c r="I222" s="506"/>
    </row>
    <row r="223" spans="1:9" ht="17.25" thickBot="1" x14ac:dyDescent="0.3">
      <c r="A223" s="79" t="s">
        <v>122</v>
      </c>
      <c r="B223" s="263">
        <v>1000</v>
      </c>
      <c r="C223" s="264">
        <f t="shared" ref="C223:C234" si="69">B223/$N$1</f>
        <v>41.666666666666664</v>
      </c>
      <c r="D223" s="265">
        <f t="shared" ref="D223:E234" si="70">B223/10.65</f>
        <v>93.896713615023472</v>
      </c>
      <c r="E223" s="266">
        <f t="shared" si="70"/>
        <v>3.9123630672926444</v>
      </c>
      <c r="F223" s="263">
        <v>1000</v>
      </c>
      <c r="G223" s="267">
        <f t="shared" ref="G223:G234" si="71">F223/$N$1</f>
        <v>41.666666666666664</v>
      </c>
      <c r="H223" s="267">
        <f t="shared" ref="H223:I234" si="72">F223/10.65</f>
        <v>93.896713615023472</v>
      </c>
      <c r="I223" s="266">
        <f t="shared" si="72"/>
        <v>3.9123630672926444</v>
      </c>
    </row>
    <row r="224" spans="1:9" x14ac:dyDescent="0.25">
      <c r="A224" s="94" t="s">
        <v>124</v>
      </c>
      <c r="B224" s="280"/>
      <c r="C224" s="281">
        <f t="shared" si="69"/>
        <v>0</v>
      </c>
      <c r="D224" s="282">
        <f t="shared" si="70"/>
        <v>0</v>
      </c>
      <c r="E224" s="283">
        <f t="shared" si="70"/>
        <v>0</v>
      </c>
      <c r="F224" s="294"/>
      <c r="G224" s="285">
        <f t="shared" si="71"/>
        <v>0</v>
      </c>
      <c r="H224" s="285">
        <f t="shared" si="72"/>
        <v>0</v>
      </c>
      <c r="I224" s="283">
        <f t="shared" si="72"/>
        <v>0</v>
      </c>
    </row>
    <row r="225" spans="1:9" x14ac:dyDescent="0.25">
      <c r="A225" s="94" t="s">
        <v>126</v>
      </c>
      <c r="B225" s="268"/>
      <c r="C225" s="269">
        <f t="shared" si="69"/>
        <v>0</v>
      </c>
      <c r="D225" s="270">
        <f t="shared" si="70"/>
        <v>0</v>
      </c>
      <c r="E225" s="271">
        <f t="shared" si="70"/>
        <v>0</v>
      </c>
      <c r="F225" s="294"/>
      <c r="G225" s="285">
        <f t="shared" si="71"/>
        <v>0</v>
      </c>
      <c r="H225" s="285">
        <f t="shared" si="72"/>
        <v>0</v>
      </c>
      <c r="I225" s="283">
        <f t="shared" si="72"/>
        <v>0</v>
      </c>
    </row>
    <row r="226" spans="1:9" x14ac:dyDescent="0.25">
      <c r="A226" s="94" t="s">
        <v>128</v>
      </c>
      <c r="B226" s="268"/>
      <c r="C226" s="269">
        <f t="shared" si="69"/>
        <v>0</v>
      </c>
      <c r="D226" s="270">
        <f t="shared" si="70"/>
        <v>0</v>
      </c>
      <c r="E226" s="271">
        <f t="shared" si="70"/>
        <v>0</v>
      </c>
      <c r="F226" s="294"/>
      <c r="G226" s="285">
        <f t="shared" si="71"/>
        <v>0</v>
      </c>
      <c r="H226" s="285">
        <f t="shared" si="72"/>
        <v>0</v>
      </c>
      <c r="I226" s="283">
        <f t="shared" si="72"/>
        <v>0</v>
      </c>
    </row>
    <row r="227" spans="1:9" ht="17.25" thickBot="1" x14ac:dyDescent="0.3">
      <c r="A227" s="100" t="s">
        <v>129</v>
      </c>
      <c r="B227" s="274">
        <v>1000</v>
      </c>
      <c r="C227" s="275">
        <f t="shared" si="69"/>
        <v>41.666666666666664</v>
      </c>
      <c r="D227" s="276">
        <f t="shared" si="70"/>
        <v>93.896713615023472</v>
      </c>
      <c r="E227" s="277">
        <f t="shared" si="70"/>
        <v>3.9123630672926444</v>
      </c>
      <c r="F227" s="295">
        <v>1000</v>
      </c>
      <c r="G227" s="296">
        <f t="shared" si="71"/>
        <v>41.666666666666664</v>
      </c>
      <c r="H227" s="296">
        <f t="shared" si="72"/>
        <v>93.896713615023472</v>
      </c>
      <c r="I227" s="297">
        <f t="shared" si="72"/>
        <v>3.9123630672926444</v>
      </c>
    </row>
    <row r="228" spans="1:9" ht="17.25" thickBot="1" x14ac:dyDescent="0.3">
      <c r="A228" s="108" t="s">
        <v>132</v>
      </c>
      <c r="B228" s="298">
        <v>1000</v>
      </c>
      <c r="C228" s="264">
        <f t="shared" si="69"/>
        <v>41.666666666666664</v>
      </c>
      <c r="D228" s="265">
        <f t="shared" si="70"/>
        <v>93.896713615023472</v>
      </c>
      <c r="E228" s="266">
        <f t="shared" si="70"/>
        <v>3.9123630672926444</v>
      </c>
      <c r="F228" s="263">
        <v>0</v>
      </c>
      <c r="G228" s="267">
        <f t="shared" si="71"/>
        <v>0</v>
      </c>
      <c r="H228" s="267">
        <f t="shared" si="72"/>
        <v>0</v>
      </c>
      <c r="I228" s="266">
        <f t="shared" si="72"/>
        <v>0</v>
      </c>
    </row>
    <row r="229" spans="1:9" x14ac:dyDescent="0.25">
      <c r="A229" s="86" t="s">
        <v>133</v>
      </c>
      <c r="B229" s="280"/>
      <c r="C229" s="281">
        <f t="shared" si="69"/>
        <v>0</v>
      </c>
      <c r="D229" s="282">
        <f t="shared" si="70"/>
        <v>0</v>
      </c>
      <c r="E229" s="283">
        <f t="shared" si="70"/>
        <v>0</v>
      </c>
      <c r="F229" s="299"/>
      <c r="G229" s="300">
        <f t="shared" si="71"/>
        <v>0</v>
      </c>
      <c r="H229" s="300">
        <f t="shared" si="72"/>
        <v>0</v>
      </c>
      <c r="I229" s="301">
        <f t="shared" si="72"/>
        <v>0</v>
      </c>
    </row>
    <row r="230" spans="1:9" x14ac:dyDescent="0.25">
      <c r="A230" s="94" t="s">
        <v>134</v>
      </c>
      <c r="B230" s="268">
        <v>0</v>
      </c>
      <c r="C230" s="269">
        <f t="shared" si="69"/>
        <v>0</v>
      </c>
      <c r="D230" s="270">
        <f t="shared" si="70"/>
        <v>0</v>
      </c>
      <c r="E230" s="271">
        <f t="shared" si="70"/>
        <v>0</v>
      </c>
      <c r="F230" s="294">
        <v>0</v>
      </c>
      <c r="G230" s="285">
        <f t="shared" si="71"/>
        <v>0</v>
      </c>
      <c r="H230" s="285">
        <f t="shared" si="72"/>
        <v>0</v>
      </c>
      <c r="I230" s="283">
        <f t="shared" si="72"/>
        <v>0</v>
      </c>
    </row>
    <row r="231" spans="1:9" x14ac:dyDescent="0.25">
      <c r="A231" s="94" t="s">
        <v>135</v>
      </c>
      <c r="B231" s="268">
        <v>1000</v>
      </c>
      <c r="C231" s="269">
        <f t="shared" si="69"/>
        <v>41.666666666666664</v>
      </c>
      <c r="D231" s="270">
        <f t="shared" si="70"/>
        <v>93.896713615023472</v>
      </c>
      <c r="E231" s="271">
        <f t="shared" si="70"/>
        <v>3.9123630672926444</v>
      </c>
      <c r="F231" s="294"/>
      <c r="G231" s="285">
        <f t="shared" si="71"/>
        <v>0</v>
      </c>
      <c r="H231" s="285">
        <f t="shared" si="72"/>
        <v>0</v>
      </c>
      <c r="I231" s="283">
        <f t="shared" si="72"/>
        <v>0</v>
      </c>
    </row>
    <row r="232" spans="1:9" x14ac:dyDescent="0.25">
      <c r="A232" s="94" t="s">
        <v>136</v>
      </c>
      <c r="B232" s="268"/>
      <c r="C232" s="269">
        <f t="shared" si="69"/>
        <v>0</v>
      </c>
      <c r="D232" s="270">
        <f t="shared" si="70"/>
        <v>0</v>
      </c>
      <c r="E232" s="271">
        <f t="shared" si="70"/>
        <v>0</v>
      </c>
      <c r="F232" s="294"/>
      <c r="G232" s="285">
        <f t="shared" si="71"/>
        <v>0</v>
      </c>
      <c r="H232" s="285">
        <f t="shared" si="72"/>
        <v>0</v>
      </c>
      <c r="I232" s="283">
        <f t="shared" si="72"/>
        <v>0</v>
      </c>
    </row>
    <row r="233" spans="1:9" x14ac:dyDescent="0.25">
      <c r="A233" s="94" t="s">
        <v>137</v>
      </c>
      <c r="B233" s="268"/>
      <c r="C233" s="269">
        <f t="shared" si="69"/>
        <v>0</v>
      </c>
      <c r="D233" s="270">
        <f t="shared" si="70"/>
        <v>0</v>
      </c>
      <c r="E233" s="271">
        <f t="shared" si="70"/>
        <v>0</v>
      </c>
      <c r="F233" s="294"/>
      <c r="G233" s="285">
        <f t="shared" si="71"/>
        <v>0</v>
      </c>
      <c r="H233" s="285">
        <f t="shared" si="72"/>
        <v>0</v>
      </c>
      <c r="I233" s="283">
        <f t="shared" si="72"/>
        <v>0</v>
      </c>
    </row>
    <row r="234" spans="1:9" ht="17.25" thickBot="1" x14ac:dyDescent="0.3">
      <c r="A234" s="119" t="s">
        <v>139</v>
      </c>
      <c r="B234" s="286"/>
      <c r="C234" s="287">
        <f t="shared" si="69"/>
        <v>0</v>
      </c>
      <c r="D234" s="288">
        <f t="shared" si="70"/>
        <v>0</v>
      </c>
      <c r="E234" s="289">
        <f t="shared" si="70"/>
        <v>0</v>
      </c>
      <c r="F234" s="295"/>
      <c r="G234" s="296">
        <f t="shared" si="71"/>
        <v>0</v>
      </c>
      <c r="H234" s="296">
        <f t="shared" si="72"/>
        <v>0</v>
      </c>
      <c r="I234" s="297">
        <f t="shared" si="72"/>
        <v>0</v>
      </c>
    </row>
    <row r="236" spans="1:9" x14ac:dyDescent="0.25">
      <c r="A236" s="4" t="s">
        <v>147</v>
      </c>
    </row>
    <row r="237" spans="1:9" x14ac:dyDescent="0.25">
      <c r="A237" s="4" t="s">
        <v>148</v>
      </c>
    </row>
    <row r="239" spans="1:9" x14ac:dyDescent="0.25">
      <c r="A239" s="4" t="s">
        <v>149</v>
      </c>
    </row>
    <row r="240" spans="1:9" x14ac:dyDescent="0.25">
      <c r="A240" s="4" t="s">
        <v>150</v>
      </c>
    </row>
    <row r="242" spans="1:3" x14ac:dyDescent="0.25">
      <c r="A242" s="4" t="s">
        <v>85</v>
      </c>
    </row>
    <row r="243" spans="1:3" x14ac:dyDescent="0.25">
      <c r="A243" s="4" t="s">
        <v>151</v>
      </c>
    </row>
    <row r="245" spans="1:3" x14ac:dyDescent="0.25">
      <c r="A245" s="4" t="s">
        <v>87</v>
      </c>
    </row>
    <row r="246" spans="1:3" x14ac:dyDescent="0.25">
      <c r="A246" s="4" t="s">
        <v>152</v>
      </c>
    </row>
    <row r="248" spans="1:3" ht="18" x14ac:dyDescent="0.25">
      <c r="A248" s="479" t="s">
        <v>226</v>
      </c>
      <c r="B248" s="479"/>
      <c r="C248"/>
    </row>
    <row r="249" spans="1:3" ht="33" x14ac:dyDescent="0.25">
      <c r="A249" s="384" t="s">
        <v>153</v>
      </c>
      <c r="B249" s="385" t="s">
        <v>227</v>
      </c>
      <c r="C249"/>
    </row>
    <row r="250" spans="1:3" x14ac:dyDescent="0.25">
      <c r="A250" s="386"/>
      <c r="B250" s="387" t="s">
        <v>2</v>
      </c>
      <c r="C250" s="69" t="s">
        <v>3</v>
      </c>
    </row>
    <row r="251" spans="1:3" x14ac:dyDescent="0.25">
      <c r="A251" s="388" t="s">
        <v>6</v>
      </c>
      <c r="B251" s="389">
        <v>618454.741713</v>
      </c>
      <c r="C251" s="22">
        <f t="shared" ref="C251:C256" si="73">B251/24</f>
        <v>25768.947571375</v>
      </c>
    </row>
    <row r="252" spans="1:3" x14ac:dyDescent="0.3">
      <c r="A252" s="388" t="s">
        <v>154</v>
      </c>
      <c r="B252" s="390">
        <v>163368.66989200001</v>
      </c>
      <c r="C252" s="22">
        <f t="shared" si="73"/>
        <v>6807.0279121666672</v>
      </c>
    </row>
    <row r="253" spans="1:3" x14ac:dyDescent="0.25">
      <c r="A253" s="391" t="s">
        <v>7</v>
      </c>
      <c r="B253" s="389">
        <f>B254+B255+B256</f>
        <v>696859.46737800119</v>
      </c>
      <c r="C253" s="22">
        <f t="shared" si="73"/>
        <v>29035.811140750051</v>
      </c>
    </row>
    <row r="254" spans="1:3" x14ac:dyDescent="0.3">
      <c r="A254" s="392" t="s">
        <v>155</v>
      </c>
      <c r="B254" s="390">
        <v>0</v>
      </c>
      <c r="C254" s="22">
        <f t="shared" si="73"/>
        <v>0</v>
      </c>
    </row>
    <row r="255" spans="1:3" x14ac:dyDescent="0.25">
      <c r="A255" s="392" t="s">
        <v>156</v>
      </c>
      <c r="B255" s="393">
        <v>548378.58886100119</v>
      </c>
      <c r="C255" s="22">
        <f t="shared" si="73"/>
        <v>22849.107869208383</v>
      </c>
    </row>
    <row r="256" spans="1:3" x14ac:dyDescent="0.25">
      <c r="A256" s="392" t="s">
        <v>157</v>
      </c>
      <c r="B256" s="393">
        <v>148480.878517</v>
      </c>
      <c r="C256" s="22">
        <f t="shared" si="73"/>
        <v>6186.7032715416672</v>
      </c>
    </row>
  </sheetData>
  <mergeCells count="30">
    <mergeCell ref="A77:A78"/>
    <mergeCell ref="B77:E77"/>
    <mergeCell ref="F77:I77"/>
    <mergeCell ref="A248:B248"/>
    <mergeCell ref="B92:I92"/>
    <mergeCell ref="B105:I105"/>
    <mergeCell ref="B118:I118"/>
    <mergeCell ref="B131:I131"/>
    <mergeCell ref="B144:I144"/>
    <mergeCell ref="B157:I157"/>
    <mergeCell ref="B170:I170"/>
    <mergeCell ref="B183:I183"/>
    <mergeCell ref="B196:I196"/>
    <mergeCell ref="B209:I209"/>
    <mergeCell ref="B222:I222"/>
    <mergeCell ref="B79:I79"/>
    <mergeCell ref="B62:E62"/>
    <mergeCell ref="F62:I62"/>
    <mergeCell ref="A2:I2"/>
    <mergeCell ref="B3:E3"/>
    <mergeCell ref="F3:I3"/>
    <mergeCell ref="A21:A22"/>
    <mergeCell ref="B21:E21"/>
    <mergeCell ref="F21:I21"/>
    <mergeCell ref="B23:E23"/>
    <mergeCell ref="F23:I23"/>
    <mergeCell ref="B36:E36"/>
    <mergeCell ref="F36:I36"/>
    <mergeCell ref="B49:E49"/>
    <mergeCell ref="F49:I4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>
    <oddFooter>&amp;L&amp;P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Tariffs forecast template</vt:lpstr>
      <vt:lpstr>Model simplificat tarife</vt:lpstr>
      <vt:lpstr>centralizare tarife estimate</vt:lpstr>
      <vt:lpstr> Tarife PS 19-20</vt:lpstr>
      <vt:lpstr> Tarife PS 20-21</vt:lpstr>
      <vt:lpstr> Tarife PS 21-22</vt:lpstr>
      <vt:lpstr> Tarife PS 22-23 </vt:lpstr>
      <vt:lpstr> Tarife PS 23-24</vt:lpstr>
      <vt:lpstr>ESTIMARE I_E-19-20</vt:lpstr>
      <vt:lpstr>ESTIMARE I_E-20-21</vt:lpstr>
      <vt:lpstr>ESTIMARE I_E-21-22</vt:lpstr>
      <vt:lpstr>ESTIMARE I_E-22-23</vt:lpstr>
      <vt:lpstr>Estimare T1 18-19</vt:lpstr>
      <vt:lpstr>Multiplicatori 19-20-TAR</vt:lpstr>
      <vt:lpstr>Multiplicatori 20-21-TAR</vt:lpstr>
      <vt:lpstr>Multiplicatori 21-22-TAR</vt:lpstr>
      <vt:lpstr>ipoteze</vt:lpstr>
      <vt:lpstr>'ESTIMARE I_E-19-20'!Print_Area</vt:lpstr>
      <vt:lpstr>'ESTIMARE I_E-20-21'!Print_Area</vt:lpstr>
      <vt:lpstr>'ESTIMARE I_E-21-22'!Print_Area</vt:lpstr>
      <vt:lpstr>'ESTIMARE I_E-22-23'!Print_Area</vt:lpstr>
      <vt:lpstr>'Estimare T1 18-19'!Print_Area</vt:lpstr>
      <vt:lpstr>'Model simplificat tarife'!Print_Area</vt:lpstr>
      <vt:lpstr>'Model simplificat tarife'!Print_Titles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2018-07-09T12:08:12Z</dcterms:modified>
</cp:coreProperties>
</file>